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imulador" sheetId="1" state="visible" r:id="rId1"/>
    <sheet xmlns:r="http://schemas.openxmlformats.org/officeDocument/2006/relationships" name="Ofertas_Bancos" sheetId="2" state="visible" r:id="rId2"/>
    <sheet xmlns:r="http://schemas.openxmlformats.org/officeDocument/2006/relationships" name="Resumen" sheetId="3" state="visible" r:id="rId3"/>
    <sheet xmlns:r="http://schemas.openxmlformats.org/officeDocument/2006/relationships" name="Instruccion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yyyy-mm-dd"/>
    <numFmt numFmtId="165" formatCode="DD/MM/AAAA"/>
    <numFmt numFmtId="166" formatCode="#.##0,00 &quot;€&quot;"/>
    <numFmt numFmtId="167" formatCode="0,00%"/>
    <numFmt numFmtId="168" formatCode="0.0"/>
  </numFmts>
  <fonts count="7">
    <font>
      <name val="Calibri"/>
      <family val="2"/>
      <color theme="1"/>
      <sz val="11"/>
      <scheme val="minor"/>
    </font>
    <font>
      <b val="1"/>
      <color rgb="00FFFFFF"/>
      <sz val="14"/>
    </font>
    <font>
      <b val="1"/>
      <color rgb="00FFFFFF"/>
      <sz val="11"/>
    </font>
    <font>
      <color rgb="001F2937"/>
      <sz val="10"/>
    </font>
    <font>
      <b val="1"/>
      <color rgb="00111827"/>
      <sz val="10"/>
    </font>
    <font>
      <b val="1"/>
      <color rgb="0016A34A"/>
      <sz val="10"/>
    </font>
    <font>
      <b val="1"/>
      <color rgb="00C8102E"/>
      <sz val="10"/>
    </font>
  </fonts>
  <fills count="7">
    <fill>
      <patternFill/>
    </fill>
    <fill>
      <patternFill patternType="gray125"/>
    </fill>
    <fill>
      <patternFill patternType="solid">
        <fgColor rgb="001E293B"/>
      </patternFill>
    </fill>
    <fill>
      <patternFill patternType="solid">
        <fgColor rgb="00C8102E"/>
      </patternFill>
    </fill>
    <fill>
      <patternFill patternType="solid">
        <fgColor rgb="00F8FAFC"/>
      </patternFill>
    </fill>
    <fill>
      <patternFill patternType="solid">
        <fgColor rgb="00FFFBEB"/>
      </patternFill>
    </fill>
    <fill>
      <patternFill patternType="solid">
        <fgColor rgb="00ECFDF5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4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  <xf numFmtId="0" fontId="2" fillId="3" borderId="1" pivotButton="0" quotePrefix="0" xfId="0"/>
    <xf numFmtId="0" fontId="3" fillId="4" borderId="1" applyAlignment="1" pivotButton="0" quotePrefix="0" xfId="0">
      <alignment horizontal="left" vertical="center"/>
    </xf>
    <xf numFmtId="0" fontId="4" fillId="5" borderId="1" applyAlignment="1" pivotButton="0" quotePrefix="0" xfId="0">
      <alignment horizontal="right" vertical="center"/>
    </xf>
    <xf numFmtId="0" fontId="3" fillId="0" borderId="1" applyAlignment="1" pivotButton="0" quotePrefix="0" xfId="0">
      <alignment horizontal="left" vertical="center"/>
    </xf>
    <xf numFmtId="165" fontId="4" fillId="5" borderId="1" applyAlignment="1" pivotButton="0" quotePrefix="0" xfId="0">
      <alignment horizontal="right" vertical="center"/>
    </xf>
    <xf numFmtId="166" fontId="4" fillId="5" borderId="1" applyAlignment="1" pivotButton="0" quotePrefix="0" xfId="0">
      <alignment horizontal="right" vertical="center"/>
    </xf>
    <xf numFmtId="167" fontId="4" fillId="5" borderId="1" applyAlignment="1" pivotButton="0" quotePrefix="0" xfId="0">
      <alignment horizontal="right" vertical="center"/>
    </xf>
    <xf numFmtId="1" fontId="4" fillId="5" borderId="1" applyAlignment="1" pivotButton="0" quotePrefix="0" xfId="0">
      <alignment horizontal="right" vertical="center"/>
    </xf>
    <xf numFmtId="166" fontId="4" fillId="0" borderId="1" applyAlignment="1" pivotButton="0" quotePrefix="0" xfId="0">
      <alignment horizontal="right" vertical="center"/>
    </xf>
    <xf numFmtId="167" fontId="4" fillId="4" borderId="1" applyAlignment="1" pivotButton="0" quotePrefix="0" xfId="0">
      <alignment horizontal="right" vertical="center"/>
    </xf>
    <xf numFmtId="167" fontId="4" fillId="0" borderId="1" applyAlignment="1" pivotButton="0" quotePrefix="0" xfId="0">
      <alignment horizontal="right" vertical="center"/>
    </xf>
    <xf numFmtId="166" fontId="4" fillId="4" borderId="1" applyAlignment="1" pivotButton="0" quotePrefix="0" xfId="0">
      <alignment horizontal="right" vertical="center"/>
    </xf>
    <xf numFmtId="167" fontId="5" fillId="6" borderId="1" applyAlignment="1" pivotButton="0" quotePrefix="0" xfId="0">
      <alignment horizontal="right" vertical="center"/>
    </xf>
    <xf numFmtId="166" fontId="5" fillId="6" borderId="1" applyAlignment="1" pivotButton="0" quotePrefix="0" xfId="0">
      <alignment horizontal="right" vertical="center"/>
    </xf>
    <xf numFmtId="168" fontId="5" fillId="6" borderId="1" applyAlignment="1" pivotButton="0" quotePrefix="0" xfId="0">
      <alignment horizontal="right" vertical="center"/>
    </xf>
    <xf numFmtId="0" fontId="5" fillId="6" borderId="1" applyAlignment="1" pivotButton="0" quotePrefix="0" xfId="0">
      <alignment horizontal="right" vertical="center"/>
    </xf>
    <xf numFmtId="0" fontId="2" fillId="2" borderId="1" applyAlignment="1" pivotButton="0" quotePrefix="0" xfId="0">
      <alignment horizontal="center" vertical="center" wrapText="1"/>
    </xf>
    <xf numFmtId="0" fontId="3" fillId="4" borderId="1" applyAlignment="1" pivotButton="0" quotePrefix="0" xfId="0">
      <alignment horizontal="center" vertical="center"/>
    </xf>
    <xf numFmtId="167" fontId="3" fillId="4" borderId="1" applyAlignment="1" pivotButton="0" quotePrefix="0" xfId="0">
      <alignment horizontal="right" vertical="center"/>
    </xf>
    <xf numFmtId="166" fontId="3" fillId="4" borderId="1" applyAlignment="1" pivotButton="0" quotePrefix="0" xfId="0">
      <alignment horizontal="right" vertical="center"/>
    </xf>
    <xf numFmtId="0" fontId="5" fillId="4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167" fontId="3" fillId="0" borderId="1" applyAlignment="1" pivotButton="0" quotePrefix="0" xfId="0">
      <alignment horizontal="right" vertical="center"/>
    </xf>
    <xf numFmtId="166" fontId="3" fillId="0" borderId="1" applyAlignment="1" pivotButton="0" quotePrefix="0" xfId="0">
      <alignment horizontal="right" vertical="center"/>
    </xf>
    <xf numFmtId="0" fontId="5" fillId="0" borderId="1" applyAlignment="1" pivotButton="0" quotePrefix="0" xfId="0">
      <alignment horizontal="center" vertical="center"/>
    </xf>
    <xf numFmtId="1" fontId="5" fillId="6" borderId="1" applyAlignment="1" pivotButton="0" quotePrefix="0" xfId="0">
      <alignment horizontal="right" vertical="center"/>
    </xf>
    <xf numFmtId="0" fontId="4" fillId="6" borderId="1" applyAlignment="1" pivotButton="0" quotePrefix="0" xfId="0">
      <alignment horizontal="right" vertical="center"/>
    </xf>
    <xf numFmtId="0" fontId="2" fillId="2" borderId="1" applyAlignment="1" pivotButton="0" quotePrefix="0" xfId="0">
      <alignment horizontal="center" vertical="center"/>
    </xf>
    <xf numFmtId="0" fontId="3" fillId="4" borderId="1" pivotButton="0" quotePrefix="0" xfId="0"/>
    <xf numFmtId="166" fontId="3" fillId="4" borderId="1" pivotButton="0" quotePrefix="0" xfId="0"/>
    <xf numFmtId="166" fontId="0" fillId="4" borderId="1" pivotButton="0" quotePrefix="0" xfId="0"/>
    <xf numFmtId="0" fontId="3" fillId="0" borderId="1" pivotButton="0" quotePrefix="0" xfId="0"/>
    <xf numFmtId="166" fontId="3" fillId="0" borderId="1" pivotButton="0" quotePrefix="0" xfId="0"/>
    <xf numFmtId="166" fontId="0" fillId="0" borderId="1" pivotButton="0" quotePrefix="0" xfId="0"/>
    <xf numFmtId="0" fontId="6" fillId="0" borderId="1" applyAlignment="1" pivotButton="0" quotePrefix="0" xfId="0">
      <alignment vertical="top"/>
    </xf>
    <xf numFmtId="0" fontId="3" fillId="0" borderId="1" applyAlignment="1" pivotButton="0" quotePrefix="0" xfId="0">
      <alignment vertical="top" wrapText="1"/>
    </xf>
    <xf numFmtId="0" fontId="6" fillId="4" borderId="1" applyAlignment="1" pivotButton="0" quotePrefix="0" xfId="0">
      <alignment vertical="top"/>
    </xf>
    <xf numFmtId="0" fontId="3" fillId="4" borderId="1" applyAlignment="1" pivotButton="0" quotePrefix="0" xfId="0">
      <alignment vertical="top" wrapText="1"/>
    </xf>
  </cellXfs>
  <cellStyles count="1">
    <cellStyle name="Normal" xfId="0" builtinId="0" hidden="0"/>
  </cellStyles>
  <dxfs count="1">
    <dxf>
      <font>
        <b val="1"/>
        <color rgb="00DC2626"/>
        <sz val="10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Cuota actual vs cuota estimada por banco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'Resumen'!B15</f>
            </strRef>
          </tx>
          <spPr>
            <a:solidFill xmlns:a="http://schemas.openxmlformats.org/drawingml/2006/main">
              <a:srgbClr val="1E293B"/>
            </a:solidFill>
            <a:ln xmlns:a="http://schemas.openxmlformats.org/drawingml/2006/main">
              <a:prstDash val="solid"/>
            </a:ln>
          </spPr>
          <cat>
            <numRef>
              <f>'Resumen'!$A$16:$A$24</f>
            </numRef>
          </cat>
          <val>
            <numRef>
              <f>'Resumen'!$B$16:$B$24</f>
            </numRef>
          </val>
        </ser>
        <ser>
          <idx val="1"/>
          <order val="1"/>
          <tx>
            <strRef>
              <f>'Resumen'!C15</f>
            </strRef>
          </tx>
          <spPr>
            <a:solidFill xmlns:a="http://schemas.openxmlformats.org/drawingml/2006/main">
              <a:srgbClr val="C8102E"/>
            </a:solidFill>
            <a:ln xmlns:a="http://schemas.openxmlformats.org/drawingml/2006/main">
              <a:prstDash val="solid"/>
            </a:ln>
          </spPr>
          <cat>
            <numRef>
              <f>'Resumen'!$A$16:$A$24</f>
            </numRef>
          </cat>
          <val>
            <numRef>
              <f>'Resumen'!$C$16:$C$24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Cuota mensual (€)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Ahorro mensual estimado por entidad</a:t>
            </a:r>
          </a:p>
        </rich>
      </tx>
    </title>
    <plotArea>
      <barChart>
        <barDir val="bar"/>
        <grouping val="clustered"/>
        <ser>
          <idx val="0"/>
          <order val="0"/>
          <tx>
            <strRef>
              <f>'Resumen'!D15</f>
            </strRef>
          </tx>
          <spPr>
            <a:solidFill xmlns:a="http://schemas.openxmlformats.org/drawingml/2006/main">
              <a:srgbClr val="16A34A"/>
            </a:solidFill>
            <a:ln xmlns:a="http://schemas.openxmlformats.org/drawingml/2006/main">
              <a:prstDash val="solid"/>
            </a:ln>
          </spPr>
          <cat>
            <numRef>
              <f>'Resumen'!$A$16:$A$24</f>
            </numRef>
          </cat>
          <val>
            <numRef>
              <f>'Resumen'!$D$16:$D$24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Composición de los costes iniciales (oferta seleccionada)</a:t>
            </a:r>
          </a:p>
        </rich>
      </tx>
    </title>
    <plotArea>
      <pieChart>
        <varyColors val="1"/>
        <ser>
          <idx val="0"/>
          <order val="0"/>
          <tx>
            <strRef>
              <f>'Resumen'!G15</f>
            </strRef>
          </tx>
          <spPr>
            <a:ln xmlns:a="http://schemas.openxmlformats.org/drawingml/2006/main">
              <a:prstDash val="solid"/>
            </a:ln>
          </spPr>
          <cat>
            <numRef>
              <f>'Resumen'!$F$16:$F$20</f>
            </numRef>
          </cat>
          <val>
            <numRef>
              <f>'Resumen'!$G$16:$G$20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/Relationships>
</file>

<file path=xl/drawings/drawing1.xml><?xml version="1.0" encoding="utf-8"?>
<wsDr xmlns="http://schemas.openxmlformats.org/drawingml/2006/spreadsheetDrawing">
  <oneCellAnchor>
    <from>
      <col>0</col>
      <colOff>0</colOff>
      <row>26</row>
      <rowOff>0</rowOff>
    </from>
    <ext cx="7200000" cy="324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0</col>
      <colOff>0</colOff>
      <row>45</row>
      <rowOff>0</rowOff>
    </from>
    <ext cx="7200000" cy="324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5</col>
      <colOff>0</colOff>
      <row>26</row>
      <rowOff>0</rowOff>
    </from>
    <ext cx="5040000" cy="324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3"/>
  <sheetViews>
    <sheetView workbookViewId="0">
      <selection activeCell="A1" sqref="A1"/>
    </sheetView>
  </sheetViews>
  <sheetFormatPr baseColWidth="8" defaultRowHeight="15"/>
  <cols>
    <col width="44" customWidth="1" min="1" max="1"/>
    <col width="30" customWidth="1" min="2" max="2"/>
  </cols>
  <sheetData>
    <row r="1" ht="26" customHeight="1">
      <c r="A1" s="1" t="inlineStr">
        <is>
          <t>SIMULADOR DE SUBROGACIÓN DE HIPOTECA A OTRO BANCO</t>
        </is>
      </c>
    </row>
    <row r="3">
      <c r="A3" s="2" t="inlineStr">
        <is>
          <t>HIPOTECA ACTUAL</t>
        </is>
      </c>
      <c r="B3" s="3" t="n"/>
    </row>
    <row r="4">
      <c r="A4" s="4" t="inlineStr">
        <is>
          <t>Titular</t>
        </is>
      </c>
      <c r="B4" s="5" t="inlineStr">
        <is>
          <t>María García López</t>
        </is>
      </c>
    </row>
    <row r="5">
      <c r="A5" s="6" t="inlineStr">
        <is>
          <t>Banco actual</t>
        </is>
      </c>
      <c r="B5" s="5" t="inlineStr">
        <is>
          <t>Banco Santander</t>
        </is>
      </c>
    </row>
    <row r="6">
      <c r="A6" s="4" t="inlineStr">
        <is>
          <t>Fecha de contratación</t>
        </is>
      </c>
      <c r="B6" s="7" t="n">
        <v>46034</v>
      </c>
    </row>
    <row r="7">
      <c r="A7" s="6" t="inlineStr">
        <is>
          <t>Capital pendiente (€)</t>
        </is>
      </c>
      <c r="B7" s="8" t="n">
        <v>185000</v>
      </c>
    </row>
    <row r="8">
      <c r="A8" s="4" t="inlineStr">
        <is>
          <t>Tipo actual fijo (%)</t>
        </is>
      </c>
      <c r="B8" s="9" t="n">
        <v>0.045</v>
      </c>
    </row>
    <row r="9">
      <c r="A9" s="6" t="inlineStr">
        <is>
          <t>Tipo (Fijo / Variable / Mixto)</t>
        </is>
      </c>
      <c r="B9" s="5" t="inlineStr">
        <is>
          <t>Variable</t>
        </is>
      </c>
    </row>
    <row r="10">
      <c r="A10" s="4" t="inlineStr">
        <is>
          <t>Euríbor de referencia (%)</t>
        </is>
      </c>
      <c r="B10" s="9" t="n">
        <v>0.021</v>
      </c>
    </row>
    <row r="11">
      <c r="A11" s="6" t="inlineStr">
        <is>
          <t>Diferencial (%)</t>
        </is>
      </c>
      <c r="B11" s="9" t="n">
        <v>0.008999999999999999</v>
      </c>
    </row>
    <row r="12">
      <c r="A12" s="4" t="inlineStr">
        <is>
          <t>Plazo restante (años)</t>
        </is>
      </c>
      <c r="B12" s="10" t="n">
        <v>24</v>
      </c>
    </row>
    <row r="13">
      <c r="A13" s="6" t="inlineStr">
        <is>
          <t>Cuota actual (€)</t>
        </is>
      </c>
      <c r="B13" s="11">
        <f>IF(B9="Variable",PMT((B10+B11)/12,B12*12,-B7),PMT(B8/12,B12*12,-B7))</f>
        <v/>
      </c>
    </row>
    <row r="14">
      <c r="A14" s="4" t="inlineStr">
        <is>
          <t>Comisión por novación/subrogación (%)</t>
        </is>
      </c>
      <c r="B14" s="9" t="n">
        <v>0.005</v>
      </c>
    </row>
    <row r="15">
      <c r="A15" s="6" t="inlineStr">
        <is>
          <t>Coste de cancelación o compensación (€)</t>
        </is>
      </c>
      <c r="B15" s="8" t="n">
        <v>250</v>
      </c>
    </row>
    <row r="17">
      <c r="A17" s="2" t="inlineStr">
        <is>
          <t>NUEVA OFERTA (SELECCIONE BANCO DESTINO)</t>
        </is>
      </c>
      <c r="B17" s="3" t="n"/>
    </row>
    <row r="18">
      <c r="A18" s="4" t="inlineStr">
        <is>
          <t>Banco destino</t>
        </is>
      </c>
      <c r="B18" s="5" t="inlineStr">
        <is>
          <t>CaixaBank</t>
        </is>
      </c>
    </row>
    <row r="19">
      <c r="A19" s="6" t="inlineStr">
        <is>
          <t>Tipo de oferta (Fijo / Variable / Mixto)</t>
        </is>
      </c>
      <c r="B19" s="5" t="inlineStr">
        <is>
          <t>Variable</t>
        </is>
      </c>
    </row>
    <row r="20">
      <c r="A20" s="4" t="inlineStr">
        <is>
          <t>Tipo fijo inicial (%)</t>
        </is>
      </c>
      <c r="B20" s="12">
        <f>IFERROR(VLOOKUP($B$18,Ofertas_Bancos!$B$2:$T$10,3,FALSE),0.03)</f>
        <v/>
      </c>
    </row>
    <row r="21">
      <c r="A21" s="6" t="inlineStr">
        <is>
          <t>Euríbor estimado (%)</t>
        </is>
      </c>
      <c r="B21" s="13">
        <f>IFERROR(VLOOKUP($B$18,Ofertas_Bancos!$B$2:$T$10,4,FALSE),0.021)</f>
        <v/>
      </c>
    </row>
    <row r="22">
      <c r="A22" s="4" t="inlineStr">
        <is>
          <t>Diferencial (%)</t>
        </is>
      </c>
      <c r="B22" s="12">
        <f>IFERROR(VLOOKUP($B$18,Ofertas_Bancos!$B$2:$T$10,5,FALSE),0.006)</f>
        <v/>
      </c>
    </row>
    <row r="23">
      <c r="A23" s="6" t="inlineStr">
        <is>
          <t>Plazo nuevo (años)</t>
        </is>
      </c>
      <c r="B23" s="10" t="n">
        <v>25</v>
      </c>
    </row>
    <row r="24">
      <c r="A24" s="4" t="inlineStr">
        <is>
          <t>Comisión de apertura (%)</t>
        </is>
      </c>
      <c r="B24" s="12">
        <f>IFERROR(VLOOKUP($B$18,Ofertas_Bancos!$B$2:$T$10,7,FALSE),0)</f>
        <v/>
      </c>
    </row>
    <row r="25">
      <c r="A25" s="6" t="inlineStr">
        <is>
          <t>Comisión de subrogación (€)</t>
        </is>
      </c>
      <c r="B25" s="11">
        <f>IFERROR(VLOOKUP($B$18,Ofertas_Bancos!$B$2:$T$10,8,FALSE),0)</f>
        <v/>
      </c>
    </row>
    <row r="26">
      <c r="A26" s="4" t="inlineStr">
        <is>
          <t>Tasación (€)</t>
        </is>
      </c>
      <c r="B26" s="14">
        <f>IFERROR(VLOOKUP($B$18,Ofertas_Bancos!$B$2:$T$10,11,FALSE),0)</f>
        <v/>
      </c>
    </row>
    <row r="27">
      <c r="A27" s="6" t="inlineStr">
        <is>
          <t>Gestoría (€)</t>
        </is>
      </c>
      <c r="B27" s="11">
        <f>IFERROR(VLOOKUP($B$18,Ofertas_Bancos!$B$2:$T$10,12,FALSE),0)</f>
        <v/>
      </c>
    </row>
    <row r="28">
      <c r="A28" s="4" t="inlineStr">
        <is>
          <t>Notaría (€)</t>
        </is>
      </c>
      <c r="B28" s="14">
        <f>IFERROR(VLOOKUP($B$18,Ofertas_Bancos!$B$2:$T$10,13,FALSE),0)</f>
        <v/>
      </c>
    </row>
    <row r="29">
      <c r="A29" s="6" t="inlineStr">
        <is>
          <t>Registro (€)</t>
        </is>
      </c>
      <c r="B29" s="11">
        <f>IFERROR(VLOOKUP($B$18,Ofertas_Bancos!$B$2:$T$10,14,FALSE),0)</f>
        <v/>
      </c>
    </row>
    <row r="30">
      <c r="A30" s="4" t="inlineStr">
        <is>
          <t>Productos vinculados (€ anuales)</t>
        </is>
      </c>
      <c r="B30" s="14">
        <f>IFERROR(VLOOKUP($B$18,Ofertas_Bancos!$B$2:$T$10,9,FALSE),0)</f>
        <v/>
      </c>
    </row>
    <row r="31">
      <c r="A31" s="6" t="inlineStr">
        <is>
          <t>Bonificación por nómina (%)</t>
        </is>
      </c>
      <c r="B31" s="13">
        <f>IFERROR(VLOOKUP($B$18,Ofertas_Bancos!$B$2:$T$10,10,FALSE),0)</f>
        <v/>
      </c>
    </row>
    <row r="32">
      <c r="A32" s="4" t="inlineStr">
        <is>
          <t>Fecha prevista de subrogación</t>
        </is>
      </c>
      <c r="B32" s="7" t="n">
        <v>46218</v>
      </c>
    </row>
    <row r="34">
      <c r="A34" s="2" t="inlineStr">
        <is>
          <t>RESULTADOS DE LA SIMULACIÓN</t>
        </is>
      </c>
      <c r="B34" s="3" t="n"/>
    </row>
    <row r="35">
      <c r="A35" s="6" t="inlineStr">
        <is>
          <t>Tipo efectivo de la nueva oferta (%)</t>
        </is>
      </c>
      <c r="B35" s="15">
        <f>IF(B19="Variable",B21+B22,B20-B31)</f>
        <v/>
      </c>
    </row>
    <row r="36">
      <c r="A36" s="6" t="inlineStr">
        <is>
          <t>Nueva cuota mensual (€)</t>
        </is>
      </c>
      <c r="B36" s="16">
        <f>PMT(B35/12,B23*12,-B7)</f>
        <v/>
      </c>
    </row>
    <row r="37">
      <c r="A37" s="6" t="inlineStr">
        <is>
          <t>Diferencia mensual de cuota (€)</t>
        </is>
      </c>
      <c r="B37" s="16">
        <f>B13-B36</f>
        <v/>
      </c>
    </row>
    <row r="38">
      <c r="A38" s="6" t="inlineStr">
        <is>
          <t>Costes iniciales totales (€)</t>
        </is>
      </c>
      <c r="B38" s="16">
        <f>B25+B26+B27+B28+B29+B7*B14+B15</f>
        <v/>
      </c>
    </row>
    <row r="39">
      <c r="A39" s="6" t="inlineStr">
        <is>
          <t>Ahorro mensual neto (€)</t>
        </is>
      </c>
      <c r="B39" s="16">
        <f>B13-B36-B30/12</f>
        <v/>
      </c>
    </row>
    <row r="40">
      <c r="A40" s="6" t="inlineStr">
        <is>
          <t>Ahorro acumulado a 12 meses (€)</t>
        </is>
      </c>
      <c r="B40" s="16">
        <f>B39*12-B38</f>
        <v/>
      </c>
    </row>
    <row r="41">
      <c r="A41" s="6" t="inlineStr">
        <is>
          <t>Punto de equilibrio (meses)</t>
        </is>
      </c>
      <c r="B41" s="17">
        <f>IF(B39&gt;0,ROUND(B38/B39,1),"No rentable")</f>
        <v/>
      </c>
    </row>
    <row r="42">
      <c r="A42" s="6" t="inlineStr">
        <is>
          <t>Ahorro total estimado durante el plazo (€)</t>
        </is>
      </c>
      <c r="B42" s="16">
        <f>B39*B23*12-B38</f>
        <v/>
      </c>
    </row>
    <row r="43">
      <c r="A43" s="6" t="inlineStr">
        <is>
          <t>Recomendación</t>
        </is>
      </c>
      <c r="B43" s="18">
        <f>IF(B42&gt;0,"Subrogación potencialmente recomendable","Mantener hipoteca actual")</f>
        <v/>
      </c>
    </row>
  </sheetData>
  <mergeCells count="1">
    <mergeCell ref="A1:B1"/>
  </mergeCells>
  <conditionalFormatting sqref="B39:B40">
    <cfRule type="expression" priority="1" dxfId="0" stopIfTrue="1">
      <formula>B39&lt;0</formula>
    </cfRule>
  </conditionalFormatting>
  <conditionalFormatting sqref="B42">
    <cfRule type="expression" priority="2" dxfId="0" stopIfTrue="1">
      <formula>B42&lt;0</formula>
    </cfRule>
  </conditionalFormatting>
  <dataValidations count="2">
    <dataValidation sqref="B9 B19" showErrorMessage="1" showInputMessage="1" allowBlank="0" type="list">
      <formula1>"Fijo,Variable,Mixto"</formula1>
    </dataValidation>
    <dataValidation sqref="B18" showErrorMessage="1" showInputMessage="1" allowBlank="0" type="list">
      <formula1>Ofertas_Bancos!$B$2:$B$10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U10"/>
  <sheetViews>
    <sheetView workbookViewId="0">
      <pane xSplit="2" ySplit="1" topLeftCell="C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9" customWidth="1" min="1" max="1"/>
    <col width="17" customWidth="1" min="2" max="2"/>
    <col width="10" customWidth="1" min="3" max="3"/>
    <col width="11" customWidth="1" min="4" max="4"/>
    <col width="11" customWidth="1" min="5" max="5"/>
    <col width="11" customWidth="1" min="6" max="6"/>
    <col width="10" customWidth="1" min="7" max="7"/>
    <col width="11" customWidth="1" min="8" max="8"/>
    <col width="13" customWidth="1" min="9" max="9"/>
    <col width="14" customWidth="1" min="10" max="10"/>
    <col width="11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3" customWidth="1" min="17" max="17"/>
    <col width="13" customWidth="1" min="18" max="18"/>
    <col width="14" customWidth="1" min="19" max="19"/>
    <col width="38" customWidth="1" min="20" max="20"/>
    <col width="12" customWidth="1" min="21" max="21"/>
  </cols>
  <sheetData>
    <row r="1" ht="32" customHeight="1">
      <c r="A1" s="19" t="inlineStr">
        <is>
          <t>ID oferta</t>
        </is>
      </c>
      <c r="B1" s="19" t="inlineStr">
        <is>
          <t>Banco</t>
        </is>
      </c>
      <c r="C1" s="19" t="inlineStr">
        <is>
          <t>Tipo</t>
        </is>
      </c>
      <c r="D1" s="19" t="inlineStr">
        <is>
          <t>Tipo fijo inicial (%)</t>
        </is>
      </c>
      <c r="E1" s="19" t="inlineStr">
        <is>
          <t>Euríbor estimado (%)</t>
        </is>
      </c>
      <c r="F1" s="19" t="inlineStr">
        <is>
          <t>Diferencial (%)</t>
        </is>
      </c>
      <c r="G1" s="19" t="inlineStr">
        <is>
          <t>Plazo máximo (años)</t>
        </is>
      </c>
      <c r="H1" s="19" t="inlineStr">
        <is>
          <t>Comisión apertura (%)</t>
        </is>
      </c>
      <c r="I1" s="19" t="inlineStr">
        <is>
          <t>Comisión subrogación (€)</t>
        </is>
      </c>
      <c r="J1" s="19" t="inlineStr">
        <is>
          <t>Productos vinculados anuales (€)</t>
        </is>
      </c>
      <c r="K1" s="19" t="inlineStr">
        <is>
          <t>Bonificación máxima (%)</t>
        </is>
      </c>
      <c r="L1" s="19" t="inlineStr">
        <is>
          <t>Tasación (€)</t>
        </is>
      </c>
      <c r="M1" s="19" t="inlineStr">
        <is>
          <t>Gestoría (€)</t>
        </is>
      </c>
      <c r="N1" s="19" t="inlineStr">
        <is>
          <t>Notaría (€)</t>
        </is>
      </c>
      <c r="O1" s="19" t="inlineStr">
        <is>
          <t>Registro (€)</t>
        </is>
      </c>
      <c r="P1" s="19" t="inlineStr">
        <is>
          <t>TAE estimada (%)</t>
        </is>
      </c>
      <c r="Q1" s="19" t="inlineStr">
        <is>
          <t>Cuota estimada (€)</t>
        </is>
      </c>
      <c r="R1" s="19" t="inlineStr">
        <is>
          <t>Costes iniciales (€)</t>
        </is>
      </c>
      <c r="S1" s="19" t="inlineStr">
        <is>
          <t>Ahorro mensual estimado (€)</t>
        </is>
      </c>
      <c r="T1" s="19" t="inlineStr">
        <is>
          <t>Observaciones</t>
        </is>
      </c>
      <c r="U1" s="19" t="inlineStr">
        <is>
          <t>Destacado</t>
        </is>
      </c>
    </row>
    <row r="2">
      <c r="A2" s="20" t="inlineStr">
        <is>
          <t>OF-01</t>
        </is>
      </c>
      <c r="B2" s="4" t="inlineStr">
        <is>
          <t>Banco Santander</t>
        </is>
      </c>
      <c r="C2" s="20" t="inlineStr">
        <is>
          <t>Fijo</t>
        </is>
      </c>
      <c r="D2" s="21" t="n">
        <v>0.0295</v>
      </c>
      <c r="E2" s="21" t="n">
        <v>0.021</v>
      </c>
      <c r="F2" s="21" t="n">
        <v>0.0065</v>
      </c>
      <c r="G2" s="20" t="n">
        <v>30</v>
      </c>
      <c r="H2" s="21" t="n">
        <v>0</v>
      </c>
      <c r="I2" s="22" t="n">
        <v>0</v>
      </c>
      <c r="J2" s="22" t="n">
        <v>420</v>
      </c>
      <c r="K2" s="21" t="n">
        <v>0.005</v>
      </c>
      <c r="L2" s="22" t="n">
        <v>340</v>
      </c>
      <c r="M2" s="22" t="n">
        <v>280</v>
      </c>
      <c r="N2" s="22" t="n">
        <v>590</v>
      </c>
      <c r="O2" s="22" t="n">
        <v>420</v>
      </c>
      <c r="P2" s="21" t="n">
        <v>0.0312</v>
      </c>
      <c r="Q2" s="14">
        <f>PMT(IF(C2="Variable",E2+F2,D2-K2)/12,G2*12,-Simulador!$B$7)</f>
        <v/>
      </c>
      <c r="R2" s="14">
        <f>I2+L2+M2+N2+O2</f>
        <v/>
      </c>
      <c r="S2" s="14">
        <f>Simulador!$B$13-Q2-J2/12</f>
        <v/>
      </c>
      <c r="U2" s="23">
        <f>IF(S2=MAX($S$2:$S$10),"Mejor ahorro","")</f>
        <v/>
      </c>
    </row>
    <row r="3">
      <c r="A3" s="24" t="inlineStr">
        <is>
          <t>OF-02</t>
        </is>
      </c>
      <c r="B3" s="6" t="inlineStr">
        <is>
          <t>BBVA</t>
        </is>
      </c>
      <c r="C3" s="24" t="inlineStr">
        <is>
          <t>Fijo</t>
        </is>
      </c>
      <c r="D3" s="25" t="n">
        <v>0.0285</v>
      </c>
      <c r="E3" s="25" t="n">
        <v>0.021</v>
      </c>
      <c r="F3" s="25" t="n">
        <v>0.006</v>
      </c>
      <c r="G3" s="24" t="n">
        <v>30</v>
      </c>
      <c r="H3" s="25" t="n">
        <v>0</v>
      </c>
      <c r="I3" s="26" t="n">
        <v>0</v>
      </c>
      <c r="J3" s="26" t="n">
        <v>480</v>
      </c>
      <c r="K3" s="25" t="n">
        <v>0.005</v>
      </c>
      <c r="L3" s="26" t="n">
        <v>355</v>
      </c>
      <c r="M3" s="26" t="n">
        <v>270</v>
      </c>
      <c r="N3" s="26" t="n">
        <v>600</v>
      </c>
      <c r="O3" s="26" t="n">
        <v>430</v>
      </c>
      <c r="P3" s="25" t="n">
        <v>0.0304</v>
      </c>
      <c r="Q3" s="11">
        <f>PMT(IF(C3="Variable",E3+F3,D3-K3)/12,G3*12,-Simulador!$B$7)</f>
        <v/>
      </c>
      <c r="R3" s="11">
        <f>I3+L3+M3+N3+O3</f>
        <v/>
      </c>
      <c r="S3" s="11">
        <f>Simulador!$B$13-Q3-J3/12</f>
        <v/>
      </c>
      <c r="U3" s="27">
        <f>IF(S3=MAX($S$2:$S$10),"Mejor ahorro","")</f>
        <v/>
      </c>
    </row>
    <row r="4">
      <c r="A4" s="20" t="inlineStr">
        <is>
          <t>OF-03</t>
        </is>
      </c>
      <c r="B4" s="4" t="inlineStr">
        <is>
          <t>CaixaBank</t>
        </is>
      </c>
      <c r="C4" s="20" t="inlineStr">
        <is>
          <t>Variable</t>
        </is>
      </c>
      <c r="D4" s="21" t="n">
        <v>0.031</v>
      </c>
      <c r="E4" s="21" t="n">
        <v>0.021</v>
      </c>
      <c r="F4" s="21" t="n">
        <v>0.005</v>
      </c>
      <c r="G4" s="20" t="n">
        <v>30</v>
      </c>
      <c r="H4" s="21" t="n">
        <v>0</v>
      </c>
      <c r="I4" s="22" t="n">
        <v>0</v>
      </c>
      <c r="J4" s="22" t="n">
        <v>360</v>
      </c>
      <c r="K4" s="21" t="n">
        <v>0.0075</v>
      </c>
      <c r="L4" s="22" t="n">
        <v>330</v>
      </c>
      <c r="M4" s="22" t="n">
        <v>260</v>
      </c>
      <c r="N4" s="22" t="n">
        <v>580</v>
      </c>
      <c r="O4" s="22" t="n">
        <v>410</v>
      </c>
      <c r="P4" s="21" t="n">
        <v>0.0298</v>
      </c>
      <c r="Q4" s="14">
        <f>PMT(IF(C4="Variable",E4+F4,D4-K4)/12,G4*12,-Simulador!$B$7)</f>
        <v/>
      </c>
      <c r="R4" s="14">
        <f>I4+L4+M4+N4+O4</f>
        <v/>
      </c>
      <c r="S4" s="14">
        <f>Simulador!$B$13-Q4-J4/12</f>
        <v/>
      </c>
      <c r="U4" s="23">
        <f>IF(S4=MAX($S$2:$S$10),"Mejor ahorro","")</f>
        <v/>
      </c>
    </row>
    <row r="5">
      <c r="A5" s="24" t="inlineStr">
        <is>
          <t>OF-04</t>
        </is>
      </c>
      <c r="B5" s="6" t="inlineStr">
        <is>
          <t>Banco Sabadell</t>
        </is>
      </c>
      <c r="C5" s="24" t="inlineStr">
        <is>
          <t>Fijo</t>
        </is>
      </c>
      <c r="D5" s="25" t="n">
        <v>0.0275</v>
      </c>
      <c r="E5" s="25" t="n">
        <v>0.021</v>
      </c>
      <c r="F5" s="25" t="n">
        <v>0.0055</v>
      </c>
      <c r="G5" s="24" t="n">
        <v>25</v>
      </c>
      <c r="H5" s="25" t="n">
        <v>0.005</v>
      </c>
      <c r="I5" s="26" t="n">
        <v>150</v>
      </c>
      <c r="J5" s="26" t="n">
        <v>540</v>
      </c>
      <c r="K5" s="25" t="n">
        <v>0.005</v>
      </c>
      <c r="L5" s="26" t="n">
        <v>345</v>
      </c>
      <c r="M5" s="26" t="n">
        <v>290</v>
      </c>
      <c r="N5" s="26" t="n">
        <v>610</v>
      </c>
      <c r="O5" s="26" t="n">
        <v>440</v>
      </c>
      <c r="P5" s="25" t="n">
        <v>0.0321</v>
      </c>
      <c r="Q5" s="11">
        <f>PMT(IF(C5="Variable",E5+F5,D5-K5)/12,G5*12,-Simulador!$B$7)</f>
        <v/>
      </c>
      <c r="R5" s="11">
        <f>I5+L5+M5+N5+O5</f>
        <v/>
      </c>
      <c r="S5" s="11">
        <f>Simulador!$B$13-Q5-J5/12</f>
        <v/>
      </c>
      <c r="U5" s="27">
        <f>IF(S5=MAX($S$2:$S$10),"Mejor ahorro","")</f>
        <v/>
      </c>
    </row>
    <row r="6">
      <c r="A6" s="20" t="inlineStr">
        <is>
          <t>OF-05</t>
        </is>
      </c>
      <c r="B6" s="4" t="inlineStr">
        <is>
          <t>Unicaja</t>
        </is>
      </c>
      <c r="C6" s="20" t="inlineStr">
        <is>
          <t>Variable</t>
        </is>
      </c>
      <c r="D6" s="21" t="n">
        <v>0.0305</v>
      </c>
      <c r="E6" s="21" t="n">
        <v>0.021</v>
      </c>
      <c r="F6" s="21" t="n">
        <v>0.0059</v>
      </c>
      <c r="G6" s="20" t="n">
        <v>30</v>
      </c>
      <c r="H6" s="21" t="n">
        <v>0</v>
      </c>
      <c r="I6" s="22" t="n">
        <v>0</v>
      </c>
      <c r="J6" s="22" t="n">
        <v>300</v>
      </c>
      <c r="K6" s="21" t="n">
        <v>0.005</v>
      </c>
      <c r="L6" s="22" t="n">
        <v>320</v>
      </c>
      <c r="M6" s="22" t="n">
        <v>250</v>
      </c>
      <c r="N6" s="22" t="n">
        <v>570</v>
      </c>
      <c r="O6" s="22" t="n">
        <v>400</v>
      </c>
      <c r="P6" s="21" t="n">
        <v>0.0295</v>
      </c>
      <c r="Q6" s="14">
        <f>PMT(IF(C6="Variable",E6+F6,D6-K6)/12,G6*12,-Simulador!$B$7)</f>
        <v/>
      </c>
      <c r="R6" s="14">
        <f>I6+L6+M6+N6+O6</f>
        <v/>
      </c>
      <c r="S6" s="14">
        <f>Simulador!$B$13-Q6-J6/12</f>
        <v/>
      </c>
      <c r="U6" s="23">
        <f>IF(S6=MAX($S$2:$S$10),"Mejor ahorro","")</f>
        <v/>
      </c>
    </row>
    <row r="7">
      <c r="A7" s="24" t="inlineStr">
        <is>
          <t>OF-06</t>
        </is>
      </c>
      <c r="B7" s="6" t="inlineStr">
        <is>
          <t>Ibercaja</t>
        </is>
      </c>
      <c r="C7" s="24" t="inlineStr">
        <is>
          <t>Mixto</t>
        </is>
      </c>
      <c r="D7" s="25" t="n">
        <v>0.0289</v>
      </c>
      <c r="E7" s="25" t="n">
        <v>0.021</v>
      </c>
      <c r="F7" s="25" t="n">
        <v>0.0062</v>
      </c>
      <c r="G7" s="24" t="n">
        <v>25</v>
      </c>
      <c r="H7" s="25" t="n">
        <v>0</v>
      </c>
      <c r="I7" s="26" t="n">
        <v>0</v>
      </c>
      <c r="J7" s="26" t="n">
        <v>390</v>
      </c>
      <c r="K7" s="25" t="n">
        <v>0.01</v>
      </c>
      <c r="L7" s="26" t="n">
        <v>335</v>
      </c>
      <c r="M7" s="26" t="n">
        <v>265</v>
      </c>
      <c r="N7" s="26" t="n">
        <v>585</v>
      </c>
      <c r="O7" s="26" t="n">
        <v>415</v>
      </c>
      <c r="P7" s="25" t="n">
        <v>0.0308</v>
      </c>
      <c r="Q7" s="11">
        <f>PMT(IF(C7="Variable",E7+F7,D7-K7)/12,G7*12,-Simulador!$B$7)</f>
        <v/>
      </c>
      <c r="R7" s="11">
        <f>I7+L7+M7+N7+O7</f>
        <v/>
      </c>
      <c r="S7" s="11">
        <f>Simulador!$B$13-Q7-J7/12</f>
        <v/>
      </c>
      <c r="U7" s="27">
        <f>IF(S7=MAX($S$2:$S$10),"Mejor ahorro","")</f>
        <v/>
      </c>
    </row>
    <row r="8">
      <c r="A8" s="20" t="inlineStr">
        <is>
          <t>OF-07</t>
        </is>
      </c>
      <c r="B8" s="4" t="inlineStr">
        <is>
          <t>Kutxabank</t>
        </is>
      </c>
      <c r="C8" s="20" t="inlineStr">
        <is>
          <t>Fijo</t>
        </is>
      </c>
      <c r="D8" s="21" t="n">
        <v>0.0299</v>
      </c>
      <c r="E8" s="21" t="n">
        <v>0.021</v>
      </c>
      <c r="F8" s="21" t="n">
        <v>0.007</v>
      </c>
      <c r="G8" s="20" t="n">
        <v>30</v>
      </c>
      <c r="H8" s="21" t="n">
        <v>0</v>
      </c>
      <c r="I8" s="22" t="n">
        <v>0</v>
      </c>
      <c r="J8" s="22" t="n">
        <v>450</v>
      </c>
      <c r="K8" s="21" t="n">
        <v>0.005</v>
      </c>
      <c r="L8" s="22" t="n">
        <v>350</v>
      </c>
      <c r="M8" s="22" t="n">
        <v>275</v>
      </c>
      <c r="N8" s="22" t="n">
        <v>595</v>
      </c>
      <c r="O8" s="22" t="n">
        <v>425</v>
      </c>
      <c r="P8" s="21" t="n">
        <v>0.0315</v>
      </c>
      <c r="Q8" s="14">
        <f>PMT(IF(C8="Variable",E8+F8,D8-K8)/12,G8*12,-Simulador!$B$7)</f>
        <v/>
      </c>
      <c r="R8" s="14">
        <f>I8+L8+M8+N8+O8</f>
        <v/>
      </c>
      <c r="S8" s="14">
        <f>Simulador!$B$13-Q8-J8/12</f>
        <v/>
      </c>
      <c r="U8" s="23">
        <f>IF(S8=MAX($S$2:$S$10),"Mejor ahorro","")</f>
        <v/>
      </c>
    </row>
    <row r="9">
      <c r="A9" s="24" t="inlineStr">
        <is>
          <t>OF-08</t>
        </is>
      </c>
      <c r="B9" s="6" t="inlineStr">
        <is>
          <t>EVO Banco</t>
        </is>
      </c>
      <c r="C9" s="24" t="inlineStr">
        <is>
          <t>Fijo</t>
        </is>
      </c>
      <c r="D9" s="25" t="n">
        <v>0.0305</v>
      </c>
      <c r="E9" s="25" t="n">
        <v>0.021</v>
      </c>
      <c r="F9" s="25" t="n">
        <v>0.0055</v>
      </c>
      <c r="G9" s="24" t="n">
        <v>30</v>
      </c>
      <c r="H9" s="25" t="n">
        <v>0</v>
      </c>
      <c r="I9" s="26" t="n">
        <v>0</v>
      </c>
      <c r="J9" s="26" t="n">
        <v>240</v>
      </c>
      <c r="K9" s="25" t="n">
        <v>0.0075</v>
      </c>
      <c r="L9" s="26" t="n">
        <v>300</v>
      </c>
      <c r="M9" s="26" t="n">
        <v>240</v>
      </c>
      <c r="N9" s="26" t="n">
        <v>560</v>
      </c>
      <c r="O9" s="26" t="n">
        <v>390</v>
      </c>
      <c r="P9" s="25" t="n">
        <v>0.031</v>
      </c>
      <c r="Q9" s="11">
        <f>PMT(IF(C9="Variable",E9+F9,D9-K9)/12,G9*12,-Simulador!$B$7)</f>
        <v/>
      </c>
      <c r="R9" s="11">
        <f>I9+L9+M9+N9+O9</f>
        <v/>
      </c>
      <c r="S9" s="11">
        <f>Simulador!$B$13-Q9-J9/12</f>
        <v/>
      </c>
      <c r="U9" s="27">
        <f>IF(S9=MAX($S$2:$S$10),"Mejor ahorro","")</f>
        <v/>
      </c>
    </row>
    <row r="10">
      <c r="A10" s="20" t="inlineStr">
        <is>
          <t>OF-09</t>
        </is>
      </c>
      <c r="B10" s="4" t="inlineStr">
        <is>
          <t>Openbank</t>
        </is>
      </c>
      <c r="C10" s="20" t="inlineStr">
        <is>
          <t>Variable</t>
        </is>
      </c>
      <c r="D10" s="21" t="n">
        <v>0.0345</v>
      </c>
      <c r="E10" s="21" t="n">
        <v>0.021</v>
      </c>
      <c r="F10" s="21" t="n">
        <v>0.008500000000000001</v>
      </c>
      <c r="G10" s="20" t="n">
        <v>30</v>
      </c>
      <c r="H10" s="21" t="n">
        <v>0</v>
      </c>
      <c r="I10" s="22" t="n">
        <v>0</v>
      </c>
      <c r="J10" s="22" t="n">
        <v>180</v>
      </c>
      <c r="K10" s="21" t="n">
        <v>0.005</v>
      </c>
      <c r="L10" s="22" t="n">
        <v>295</v>
      </c>
      <c r="M10" s="22" t="n">
        <v>235</v>
      </c>
      <c r="N10" s="22" t="n">
        <v>555</v>
      </c>
      <c r="O10" s="22" t="n">
        <v>385</v>
      </c>
      <c r="P10" s="21" t="n">
        <v>0.0299</v>
      </c>
      <c r="Q10" s="14">
        <f>PMT(IF(C10="Variable",E10+F10,D10-K10)/12,G10*12,-Simulador!$B$7)</f>
        <v/>
      </c>
      <c r="R10" s="14">
        <f>I10+L10+M10+N10+O10</f>
        <v/>
      </c>
      <c r="S10" s="14">
        <f>Simulador!$B$13-Q10-J10/12</f>
        <v/>
      </c>
      <c r="U10" s="23">
        <f>IF(S10=MAX($S$2:$S$10),"Mejor ahorro","")</f>
        <v/>
      </c>
    </row>
  </sheetData>
  <conditionalFormatting sqref="S2:S10">
    <cfRule type="expression" priority="1" dxfId="0" stopIfTrue="1">
      <formula>S2&lt;0</formula>
    </cfRule>
  </conditionalFormatting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24"/>
  <sheetViews>
    <sheetView workbookViewId="0">
      <selection activeCell="A1" sqref="A1"/>
    </sheetView>
  </sheetViews>
  <sheetFormatPr baseColWidth="8" defaultRowHeight="15"/>
  <cols>
    <col width="38" customWidth="1" min="1" max="1"/>
    <col width="24" customWidth="1" min="2" max="2"/>
    <col width="18" customWidth="1" min="3" max="3"/>
    <col width="18" customWidth="1" min="4" max="4"/>
    <col width="26" customWidth="1" min="6" max="6"/>
    <col width="16" customWidth="1" min="7" max="7"/>
  </cols>
  <sheetData>
    <row r="1" ht="26" customHeight="1">
      <c r="A1" s="1" t="inlineStr">
        <is>
          <t>RESUMEN EJECUTIVO - SUBROGACIÓN HIPOTECARIA</t>
        </is>
      </c>
    </row>
    <row r="3">
      <c r="A3" s="6" t="inlineStr">
        <is>
          <t>Capital pendiente</t>
        </is>
      </c>
      <c r="B3" s="16">
        <f>Simulador!$B$7</f>
        <v/>
      </c>
    </row>
    <row r="4">
      <c r="A4" s="4" t="inlineStr">
        <is>
          <t>Cuota actual</t>
        </is>
      </c>
      <c r="B4" s="16">
        <f>Simulador!$B$13</f>
        <v/>
      </c>
    </row>
    <row r="5">
      <c r="A5" s="6" t="inlineStr">
        <is>
          <t>Mejor nueva cuota</t>
        </is>
      </c>
      <c r="B5" s="16">
        <f>MIN(Ofertas_Bancos!Q2:Q10)</f>
        <v/>
      </c>
    </row>
    <row r="6">
      <c r="A6" s="4" t="inlineStr">
        <is>
          <t>Ahorro mensual máximo</t>
        </is>
      </c>
      <c r="B6" s="16">
        <f>MAX(Ofertas_Bancos!S2:S10)</f>
        <v/>
      </c>
    </row>
    <row r="7">
      <c r="A7" s="6" t="inlineStr">
        <is>
          <t>Costes iniciales (oferta seleccionada)</t>
        </is>
      </c>
      <c r="B7" s="16">
        <f>Simulador!$B$38</f>
        <v/>
      </c>
    </row>
    <row r="8">
      <c r="A8" s="4" t="inlineStr">
        <is>
          <t>Punto de equilibrio (meses)</t>
        </is>
      </c>
      <c r="B8" s="17">
        <f>Simulador!$B$41</f>
        <v/>
      </c>
    </row>
    <row r="9">
      <c r="A9" s="6" t="inlineStr">
        <is>
          <t>Número de ofertas analizadas</t>
        </is>
      </c>
      <c r="B9" s="28">
        <f>COUNTIF(Ofertas_Bancos!B2:B10,"&lt;&gt;")</f>
        <v/>
      </c>
    </row>
    <row r="10">
      <c r="A10" s="4" t="inlineStr">
        <is>
          <t>Ahorro mensual medio de las ofertas</t>
        </is>
      </c>
      <c r="B10" s="16">
        <f>AVERAGE(Ofertas_Bancos!S2:S10)</f>
        <v/>
      </c>
    </row>
    <row r="11">
      <c r="A11" s="6" t="inlineStr">
        <is>
          <t>Oferta recomendada</t>
        </is>
      </c>
      <c r="B11" s="18">
        <f>INDEX(Ofertas_Bancos!B2:B10,MATCH(MAX(Ofertas_Bancos!S2:S10),Ofertas_Bancos!S2:S10,0))</f>
        <v/>
      </c>
    </row>
    <row r="12">
      <c r="A12" s="4" t="inlineStr">
        <is>
          <t>Aviso de riesgo</t>
        </is>
      </c>
      <c r="B12" s="29">
        <f>IF(Simulador!$B$39&lt;0,"ATENCIÓN: el ahorro mensual es negativo","Sin alertas: la operación genera ahorro")</f>
        <v/>
      </c>
    </row>
    <row r="15">
      <c r="A15" s="30" t="inlineStr">
        <is>
          <t>Banco</t>
        </is>
      </c>
      <c r="B15" s="30" t="inlineStr">
        <is>
          <t>Cuota actual (€)</t>
        </is>
      </c>
      <c r="C15" s="30" t="inlineStr">
        <is>
          <t>Cuota estimada (€)</t>
        </is>
      </c>
      <c r="D15" s="30" t="inlineStr">
        <is>
          <t>Ahorro mensual (€)</t>
        </is>
      </c>
      <c r="F15" s="30" t="inlineStr">
        <is>
          <t>Concepto</t>
        </is>
      </c>
      <c r="G15" s="30" t="inlineStr">
        <is>
          <t>Importe (€)</t>
        </is>
      </c>
    </row>
    <row r="16">
      <c r="A16" s="31">
        <f>Ofertas_Bancos!B2</f>
        <v/>
      </c>
      <c r="B16" s="32">
        <f>Simulador!$B$13</f>
        <v/>
      </c>
      <c r="C16" s="32">
        <f>Ofertas_Bancos!Q2</f>
        <v/>
      </c>
      <c r="D16" s="32">
        <f>Ofertas_Bancos!S2</f>
        <v/>
      </c>
      <c r="F16" s="31" t="inlineStr">
        <is>
          <t>Tasación</t>
        </is>
      </c>
      <c r="G16" s="33">
        <f>Simulador!$B$26</f>
        <v/>
      </c>
    </row>
    <row r="17">
      <c r="A17" s="34">
        <f>Ofertas_Bancos!B3</f>
        <v/>
      </c>
      <c r="B17" s="35">
        <f>Simulador!$B$13</f>
        <v/>
      </c>
      <c r="C17" s="35">
        <f>Ofertas_Bancos!Q3</f>
        <v/>
      </c>
      <c r="D17" s="35">
        <f>Ofertas_Bancos!S3</f>
        <v/>
      </c>
      <c r="F17" s="34" t="inlineStr">
        <is>
          <t>Gestoría</t>
        </is>
      </c>
      <c r="G17" s="36">
        <f>Simulador!$B$27</f>
        <v/>
      </c>
    </row>
    <row r="18">
      <c r="A18" s="31">
        <f>Ofertas_Bancos!B4</f>
        <v/>
      </c>
      <c r="B18" s="32">
        <f>Simulador!$B$13</f>
        <v/>
      </c>
      <c r="C18" s="32">
        <f>Ofertas_Bancos!Q4</f>
        <v/>
      </c>
      <c r="D18" s="32">
        <f>Ofertas_Bancos!S4</f>
        <v/>
      </c>
      <c r="F18" s="31" t="inlineStr">
        <is>
          <t>Notaría</t>
        </is>
      </c>
      <c r="G18" s="33">
        <f>Simulador!$B$28</f>
        <v/>
      </c>
    </row>
    <row r="19">
      <c r="A19" s="34">
        <f>Ofertas_Bancos!B5</f>
        <v/>
      </c>
      <c r="B19" s="35">
        <f>Simulador!$B$13</f>
        <v/>
      </c>
      <c r="C19" s="35">
        <f>Ofertas_Bancos!Q5</f>
        <v/>
      </c>
      <c r="D19" s="35">
        <f>Ofertas_Bancos!S5</f>
        <v/>
      </c>
      <c r="F19" s="34" t="inlineStr">
        <is>
          <t>Registro</t>
        </is>
      </c>
      <c r="G19" s="36">
        <f>Simulador!$B$29</f>
        <v/>
      </c>
    </row>
    <row r="20">
      <c r="A20" s="31">
        <f>Ofertas_Bancos!B6</f>
        <v/>
      </c>
      <c r="B20" s="32">
        <f>Simulador!$B$13</f>
        <v/>
      </c>
      <c r="C20" s="32">
        <f>Ofertas_Bancos!Q6</f>
        <v/>
      </c>
      <c r="D20" s="32">
        <f>Ofertas_Bancos!S6</f>
        <v/>
      </c>
      <c r="F20" s="31" t="inlineStr">
        <is>
          <t>Comisión y compensación</t>
        </is>
      </c>
      <c r="G20" s="33">
        <f>Simulador!$B$25+Simulador!$B$15+Simulador!$B$7*Simulador!$B$14</f>
        <v/>
      </c>
    </row>
    <row r="21">
      <c r="A21" s="34">
        <f>Ofertas_Bancos!B7</f>
        <v/>
      </c>
      <c r="B21" s="35">
        <f>Simulador!$B$13</f>
        <v/>
      </c>
      <c r="C21" s="35">
        <f>Ofertas_Bancos!Q7</f>
        <v/>
      </c>
      <c r="D21" s="35">
        <f>Ofertas_Bancos!S7</f>
        <v/>
      </c>
    </row>
    <row r="22">
      <c r="A22" s="31">
        <f>Ofertas_Bancos!B8</f>
        <v/>
      </c>
      <c r="B22" s="32">
        <f>Simulador!$B$13</f>
        <v/>
      </c>
      <c r="C22" s="32">
        <f>Ofertas_Bancos!Q8</f>
        <v/>
      </c>
      <c r="D22" s="32">
        <f>Ofertas_Bancos!S8</f>
        <v/>
      </c>
    </row>
    <row r="23">
      <c r="A23" s="34">
        <f>Ofertas_Bancos!B9</f>
        <v/>
      </c>
      <c r="B23" s="35">
        <f>Simulador!$B$13</f>
        <v/>
      </c>
      <c r="C23" s="35">
        <f>Ofertas_Bancos!Q9</f>
        <v/>
      </c>
      <c r="D23" s="35">
        <f>Ofertas_Bancos!S9</f>
        <v/>
      </c>
    </row>
    <row r="24">
      <c r="A24" s="31">
        <f>Ofertas_Bancos!B10</f>
        <v/>
      </c>
      <c r="B24" s="32">
        <f>Simulador!$B$13</f>
        <v/>
      </c>
      <c r="C24" s="32">
        <f>Ofertas_Bancos!Q10</f>
        <v/>
      </c>
      <c r="D24" s="32">
        <f>Ofertas_Bancos!S10</f>
        <v/>
      </c>
    </row>
  </sheetData>
  <mergeCells count="1">
    <mergeCell ref="A1:D1"/>
  </mergeCells>
  <pageMargins left="0.75" right="0.75" top="1" bottom="1" header="0.5" footer="0.5"/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2"/>
  <sheetViews>
    <sheetView workbookViewId="0">
      <selection activeCell="A1" sqref="A1"/>
    </sheetView>
  </sheetViews>
  <sheetFormatPr baseColWidth="8" defaultRowHeight="15"/>
  <cols>
    <col width="24" customWidth="1" min="1" max="1"/>
    <col width="110" customWidth="1" min="2" max="2"/>
  </cols>
  <sheetData>
    <row r="1" ht="26" customHeight="1">
      <c r="A1" s="1" t="inlineStr">
        <is>
          <t>GUÍA DE USO - SIMULADOR DE SUBROGACIÓN HIPOTECARIA</t>
        </is>
      </c>
    </row>
    <row r="3" ht="46" customHeight="1">
      <c r="A3" s="37" t="inlineStr">
        <is>
          <t>Hoja Simulador</t>
        </is>
      </c>
      <c r="B3" s="38" t="inlineStr">
        <is>
          <t>Introduzca en las celdas amarillas los datos de su hipoteca actual: capital pendiente, tipo, euríbor, diferencial y plazo restante. Seleccione el banco destino en la celda B18; el resto de condiciones se cargan automáticamente con VLOOKUP desde Ofertas_Bancos.</t>
        </is>
      </c>
    </row>
    <row r="4" ht="46" customHeight="1">
      <c r="A4" s="39" t="inlineStr">
        <is>
          <t>Hoja Ofertas_Bancos</t>
        </is>
      </c>
      <c r="B4" s="40" t="inlineStr">
        <is>
          <t>Tabla con 9 ofertas reales de mercado (Santander, BBVA, CaixaBank, Sabadell, Unicaja, Ibercaja, Kutxabank, EVO Banco y Openbank). Calcula la cuota estimada, los costes iniciales y el ahorro mensual con el capital pendiente del Simulador. La columna Destacado marca la mejor oferta.</t>
        </is>
      </c>
    </row>
    <row r="5" ht="46" customHeight="1">
      <c r="A5" s="37" t="inlineStr">
        <is>
          <t>Hoja Resumen</t>
        </is>
      </c>
      <c r="B5" s="38" t="inlineStr">
        <is>
          <t>Panel ejecutivo con los indicadores clave: mejor cuota, ahorro máximo y medio, punto de equilibrio y oferta recomendada, junto con tres gráficos comparativos.</t>
        </is>
      </c>
    </row>
    <row r="6" ht="46" customHeight="1">
      <c r="A6" s="39" t="inlineStr">
        <is>
          <t>Subrogación</t>
        </is>
      </c>
      <c r="B6" s="40" t="inlineStr">
        <is>
          <t>Cambiar la hipoteca de banco sin cancelarla, aprovechando las condiciones de la Ley 5/2019, de 15 de marzo, reguladora de los contratos de crédito inmobiliario. El banco destino puede igualar la oferta y la comisión por subrogación está limitada legalmente.</t>
        </is>
      </c>
    </row>
    <row r="7" ht="46" customHeight="1">
      <c r="A7" s="37" t="inlineStr">
        <is>
          <t>Costes del cambio</t>
        </is>
      </c>
      <c r="B7" s="38" t="inlineStr">
        <is>
          <t>Incluyen comisión de subrogación, compensación por riesgo de tipo de interés (en fijas), tasación, gestoría, notaría y registro. Desde la Ley 5/2019, notaría, gestoría y registro en nuevas hipotecas los asume el banco, pero conviene verificar cada oferta.</t>
        </is>
      </c>
    </row>
    <row r="8" ht="46" customHeight="1">
      <c r="A8" s="39" t="inlineStr">
        <is>
          <t>Productos vinculados</t>
        </is>
      </c>
      <c r="B8" s="40" t="inlineStr">
        <is>
          <t>Seguros, nómina o planes que bonifican el tipo pero tienen coste anual. El simulador lo descuenta del ahorro mensual para obtener el ahorro neto real.</t>
        </is>
      </c>
    </row>
    <row r="9" ht="46" customHeight="1">
      <c r="A9" s="37" t="inlineStr">
        <is>
          <t>TAE</t>
        </is>
      </c>
      <c r="B9" s="38" t="inlineStr">
        <is>
          <t>La Tasa Anual Equivalente integra tipo de interés, comisiones y vinculaciones: es la referencia correcta para comparar ofertas, no solo el tipo nominal.</t>
        </is>
      </c>
    </row>
    <row r="10" ht="46" customHeight="1">
      <c r="A10" s="39" t="inlineStr">
        <is>
          <t>Punto de equilibrio</t>
        </is>
      </c>
      <c r="B10" s="40" t="inlineStr">
        <is>
          <t>Meses necesarios para recuperar los costes iniciales con el ahorro mensual. Si vende o amortiza antes de ese plazo, la subrogación no resulta rentable.</t>
        </is>
      </c>
    </row>
    <row r="11" ht="46" customHeight="1">
      <c r="A11" s="37" t="inlineStr">
        <is>
          <t>Documentación habitual</t>
        </is>
      </c>
      <c r="B11" s="38" t="inlineStr">
        <is>
          <t>FEIN (Ficha Europea de Información Normalizada), FiAE (Ficha de Advertencias Estandarizadas), nota simple del Registro de la Propiedad, tasación homologada y certificado de deuda pendiente del banco actual.</t>
        </is>
      </c>
    </row>
    <row r="12" ht="46" customHeight="1">
      <c r="A12" s="39" t="inlineStr">
        <is>
          <t>Fecha de referencia</t>
        </is>
      </c>
      <c r="B12" s="40" t="inlineStr">
        <is>
          <t>La simulación utiliza el 15/07/2026 como fecha prevista de subrogación y un euríbor estimado del 2,10%.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2026-08-01T13:44:38Z</dcterms:created>
  <dcterms:modified xmlns:dcterms="http://purl.org/dc/terms/" xmlns:xsi="http://www.w3.org/2001/XMLSchema-instance" xsi:type="dcterms:W3CDTF">2026-08-01T13:44:38Z</dcterms:modified>
</cp:coreProperties>
</file>