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mpagos" sheetId="1" state="visible" r:id="rId1"/>
    <sheet xmlns:r="http://schemas.openxmlformats.org/officeDocument/2006/relationships" name="Resumen" sheetId="2" state="visible" r:id="rId2"/>
    <sheet xmlns:r="http://schemas.openxmlformats.org/officeDocument/2006/relationships" name="Instruccion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D/MM/YYYY"/>
    <numFmt numFmtId="165" formatCode="#.##0"/>
    <numFmt numFmtId="166" formatCode="#.##0,00 &quot;€&quot;"/>
    <numFmt numFmtId="167" formatCode="0&quot;%&quot;"/>
    <numFmt numFmtId="168" formatCode="0.0&quot;%&quot;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name val="Calibri"/>
      <b val="1"/>
      <color rgb="00FFFFFF"/>
      <sz val="10"/>
    </font>
    <font>
      <name val="Calibri"/>
      <b val="1"/>
      <color rgb="00FFFFFF"/>
      <sz val="14"/>
    </font>
    <font>
      <name val="Calibri"/>
      <b val="1"/>
      <color rgb="00475569"/>
      <sz val="9"/>
    </font>
    <font>
      <name val="Calibri"/>
      <b val="1"/>
      <color rgb="001E293B"/>
      <sz val="13"/>
    </font>
    <font>
      <name val="Calibri"/>
      <b val="1"/>
      <color rgb="00FFFFFF"/>
      <sz val="13"/>
    </font>
    <font>
      <name val="Calibri"/>
      <b val="1"/>
      <color rgb="00C8102E"/>
      <sz val="11"/>
    </font>
    <font>
      <name val="Calibri"/>
      <color rgb="001E293B"/>
      <sz val="10"/>
    </font>
  </fonts>
  <fills count="8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FFF"/>
      </patternFill>
    </fill>
    <fill>
      <patternFill patternType="solid">
        <fgColor rgb="00C8102E"/>
      </patternFill>
    </fill>
    <fill>
      <patternFill patternType="solid">
        <fgColor rgb="00F1F5F9"/>
      </patternFill>
    </fill>
    <fill>
      <patternFill patternType="solid">
        <fgColor rgb="00334155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54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164" fontId="2" fillId="3" borderId="1" applyAlignment="1" pivotButton="0" quotePrefix="0" xfId="0">
      <alignment horizontal="center" vertical="center"/>
    </xf>
    <xf numFmtId="165" fontId="2" fillId="3" borderId="1" applyAlignment="1" pivotButton="0" quotePrefix="0" xfId="0">
      <alignment horizontal="center" vertical="center"/>
    </xf>
    <xf numFmtId="166" fontId="2" fillId="3" borderId="1" applyAlignment="1" pivotButton="0" quotePrefix="0" xfId="0">
      <alignment horizontal="right" vertical="center"/>
    </xf>
    <xf numFmtId="0" fontId="2" fillId="3" borderId="1" applyAlignment="1" pivotButton="0" quotePrefix="0" xfId="0">
      <alignment horizontal="center" vertical="center"/>
    </xf>
    <xf numFmtId="167" fontId="2" fillId="3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left" vertical="center"/>
    </xf>
    <xf numFmtId="164" fontId="2" fillId="4" borderId="1" applyAlignment="1" pivotButton="0" quotePrefix="0" xfId="0">
      <alignment horizontal="center" vertical="center"/>
    </xf>
    <xf numFmtId="165" fontId="2" fillId="4" borderId="1" applyAlignment="1" pivotButton="0" quotePrefix="0" xfId="0">
      <alignment horizontal="center" vertical="center"/>
    </xf>
    <xf numFmtId="166" fontId="2" fillId="4" borderId="1" applyAlignment="1" pivotButton="0" quotePrefix="0" xfId="0">
      <alignment horizontal="right" vertical="center"/>
    </xf>
    <xf numFmtId="0" fontId="2" fillId="4" borderId="1" applyAlignment="1" pivotButton="0" quotePrefix="0" xfId="0">
      <alignment horizontal="center" vertical="center"/>
    </xf>
    <xf numFmtId="167" fontId="2" fillId="4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right" vertical="center"/>
    </xf>
    <xf numFmtId="165" fontId="4" fillId="2" borderId="1" applyAlignment="1" pivotButton="0" quotePrefix="0" xfId="0">
      <alignment horizontal="right" vertical="center"/>
    </xf>
    <xf numFmtId="166" fontId="4" fillId="2" borderId="1" applyAlignment="1" pivotButton="0" quotePrefix="0" xfId="0">
      <alignment horizontal="right" vertical="center"/>
    </xf>
    <xf numFmtId="1" fontId="4" fillId="2" borderId="1" applyAlignment="1" pivotButton="0" quotePrefix="0" xfId="0">
      <alignment horizontal="right" vertical="center"/>
    </xf>
    <xf numFmtId="0" fontId="5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0" fillId="0" borderId="5" pivotButton="0" quotePrefix="0" xfId="0"/>
    <xf numFmtId="0" fontId="1" fillId="5" borderId="1" applyAlignment="1" pivotButton="0" quotePrefix="0" xfId="0">
      <alignment horizontal="center" vertical="center"/>
    </xf>
    <xf numFmtId="0" fontId="6" fillId="6" borderId="1" applyAlignment="1" pivotButton="0" quotePrefix="0" xfId="0">
      <alignment horizontal="center" vertical="center"/>
    </xf>
    <xf numFmtId="1" fontId="7" fillId="4" borderId="1" applyAlignment="1" pivotButton="0" quotePrefix="0" xfId="0">
      <alignment horizontal="center" vertical="center"/>
    </xf>
    <xf numFmtId="166" fontId="7" fillId="4" borderId="1" applyAlignment="1" pivotButton="0" quotePrefix="0" xfId="0">
      <alignment horizontal="center" vertical="center"/>
    </xf>
    <xf numFmtId="168" fontId="7" fillId="4" borderId="1" applyAlignment="1" pivotButton="0" quotePrefix="0" xfId="0">
      <alignment horizontal="center" vertical="center"/>
    </xf>
    <xf numFmtId="0" fontId="4" fillId="5" borderId="1" applyAlignment="1" pivotButton="0" quotePrefix="0" xfId="0">
      <alignment horizontal="center" vertical="center"/>
    </xf>
    <xf numFmtId="0" fontId="4" fillId="7" borderId="1" applyAlignment="1" pivotButton="0" quotePrefix="0" xfId="0">
      <alignment horizontal="center" vertical="center"/>
    </xf>
    <xf numFmtId="1" fontId="2" fillId="3" borderId="1" applyAlignment="1" pivotButton="0" quotePrefix="0" xfId="0">
      <alignment horizontal="center" vertical="center"/>
    </xf>
    <xf numFmtId="168" fontId="2" fillId="3" borderId="1" applyAlignment="1" pivotButton="0" quotePrefix="0" xfId="0">
      <alignment horizontal="center" vertical="center"/>
    </xf>
    <xf numFmtId="1" fontId="2" fillId="4" borderId="1" applyAlignment="1" pivotButton="0" quotePrefix="0" xfId="0">
      <alignment horizontal="center" vertical="center"/>
    </xf>
    <xf numFmtId="168" fontId="2" fillId="4" borderId="1" applyAlignment="1" pivotButton="0" quotePrefix="0" xfId="0">
      <alignment horizontal="center" vertical="center"/>
    </xf>
    <xf numFmtId="0" fontId="8" fillId="2" borderId="1" applyAlignment="1" pivotButton="0" quotePrefix="0" xfId="0">
      <alignment horizontal="center" vertical="center"/>
    </xf>
    <xf numFmtId="0" fontId="0" fillId="4" borderId="0" pivotButton="0" quotePrefix="0" xfId="0"/>
    <xf numFmtId="0" fontId="0" fillId="6" borderId="0" pivotButton="0" quotePrefix="0" xfId="0"/>
    <xf numFmtId="0" fontId="9" fillId="6" borderId="1" applyAlignment="1" pivotButton="0" quotePrefix="0" xfId="0">
      <alignment horizontal="left" vertical="center"/>
    </xf>
    <xf numFmtId="0" fontId="10" fillId="4" borderId="1" applyAlignment="1" pivotButton="0" quotePrefix="0" xfId="0">
      <alignment horizontal="left" vertical="center" wrapText="1"/>
    </xf>
    <xf numFmtId="164" fontId="2" fillId="3" borderId="1" applyAlignment="1" pivotButton="0" quotePrefix="0" xfId="0">
      <alignment horizontal="center" vertical="center"/>
    </xf>
    <xf numFmtId="165" fontId="2" fillId="3" borderId="1" applyAlignment="1" pivotButton="0" quotePrefix="0" xfId="0">
      <alignment horizontal="center" vertical="center"/>
    </xf>
    <xf numFmtId="166" fontId="2" fillId="3" borderId="1" applyAlignment="1" pivotButton="0" quotePrefix="0" xfId="0">
      <alignment horizontal="right" vertical="center"/>
    </xf>
    <xf numFmtId="167" fontId="2" fillId="3" borderId="1" applyAlignment="1" pivotButton="0" quotePrefix="0" xfId="0">
      <alignment horizontal="center" vertical="center"/>
    </xf>
    <xf numFmtId="164" fontId="2" fillId="4" borderId="1" applyAlignment="1" pivotButton="0" quotePrefix="0" xfId="0">
      <alignment horizontal="center" vertical="center"/>
    </xf>
    <xf numFmtId="165" fontId="2" fillId="4" borderId="1" applyAlignment="1" pivotButton="0" quotePrefix="0" xfId="0">
      <alignment horizontal="center" vertical="center"/>
    </xf>
    <xf numFmtId="166" fontId="2" fillId="4" borderId="1" applyAlignment="1" pivotButton="0" quotePrefix="0" xfId="0">
      <alignment horizontal="right" vertical="center"/>
    </xf>
    <xf numFmtId="167" fontId="2" fillId="4" borderId="1" applyAlignment="1" pivotButton="0" quotePrefix="0" xfId="0">
      <alignment horizontal="center" vertical="center"/>
    </xf>
    <xf numFmtId="165" fontId="4" fillId="2" borderId="1" applyAlignment="1" pivotButton="0" quotePrefix="0" xfId="0">
      <alignment horizontal="right" vertical="center"/>
    </xf>
    <xf numFmtId="166" fontId="4" fillId="2" borderId="1" applyAlignment="1" pivotButton="0" quotePrefix="0" xfId="0">
      <alignment horizontal="right" vertical="center"/>
    </xf>
    <xf numFmtId="166" fontId="7" fillId="4" borderId="1" applyAlignment="1" pivotButton="0" quotePrefix="0" xfId="0">
      <alignment horizontal="center" vertical="center"/>
    </xf>
    <xf numFmtId="168" fontId="7" fillId="4" borderId="1" applyAlignment="1" pivotButton="0" quotePrefix="0" xfId="0">
      <alignment horizontal="center" vertical="center"/>
    </xf>
    <xf numFmtId="168" fontId="2" fillId="3" borderId="1" applyAlignment="1" pivotButton="0" quotePrefix="0" xfId="0">
      <alignment horizontal="center" vertical="center"/>
    </xf>
    <xf numFmtId="168" fontId="2" fillId="4" borderId="1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ont>
        <name val="Calibri"/>
        <color rgb="00DC2626"/>
        <sz val="10"/>
      </font>
      <fill>
        <patternFill patternType="solid">
          <fgColor rgb="00FEE2E2"/>
        </patternFill>
      </fill>
    </dxf>
    <dxf>
      <font>
        <name val="Calibri"/>
        <color rgb="0016A34A"/>
        <sz val="10"/>
      </font>
      <fill>
        <patternFill patternType="solid">
          <fgColor rgb="00DCFCE7"/>
        </patternFill>
      </fill>
    </dxf>
    <dxf>
      <font>
        <name val="Calibri"/>
        <color rgb="0092400E"/>
        <sz val="10"/>
      </font>
      <fill>
        <patternFill patternType="solid">
          <fgColor rgb="00FEF9C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Deuda Total por Estado del Expediente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'Resumen'!C8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'Resumen'!$A$9:$A$14</f>
            </numRef>
          </cat>
          <val>
            <numRef>
              <f>'Resumen'!$C$9:$C$14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Estado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Importe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Distribución de Expedientes por Estado</a:t>
            </a:r>
          </a:p>
        </rich>
      </tx>
    </title>
    <plotArea>
      <pieChart>
        <varyColors val="1"/>
        <ser>
          <idx val="0"/>
          <order val="0"/>
          <tx>
            <strRef>
              <f>'Resumen'!B8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C8102E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1E293B"/>
              </a:solidFill>
              <a:ln xmlns:a="http://schemas.openxmlformats.org/drawingml/2006/main"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16A34A"/>
              </a:solidFill>
              <a:ln xmlns:a="http://schemas.openxmlformats.org/drawingml/2006/main">
                <a:prstDash val="solid"/>
              </a:ln>
            </spPr>
          </dPt>
          <dPt>
            <idx val="3"/>
            <spPr>
              <a:solidFill xmlns:a="http://schemas.openxmlformats.org/drawingml/2006/main">
                <a:srgbClr val="D97706"/>
              </a:solidFill>
              <a:ln xmlns:a="http://schemas.openxmlformats.org/drawingml/2006/main">
                <a:prstDash val="solid"/>
              </a:ln>
            </spPr>
          </dPt>
          <dPt>
            <idx val="4"/>
            <spPr>
              <a:solidFill xmlns:a="http://schemas.openxmlformats.org/drawingml/2006/main">
                <a:srgbClr val="0EA5E9"/>
              </a:solidFill>
              <a:ln xmlns:a="http://schemas.openxmlformats.org/drawingml/2006/main">
                <a:prstDash val="solid"/>
              </a:ln>
            </spPr>
          </dPt>
          <dPt>
            <idx val="5"/>
            <spPr>
              <a:solidFill xmlns:a="http://schemas.openxmlformats.org/drawingml/2006/main">
                <a:srgbClr val="7C3AED"/>
              </a:solidFill>
              <a:ln xmlns:a="http://schemas.openxmlformats.org/drawingml/2006/main">
                <a:prstDash val="solid"/>
              </a:ln>
            </spPr>
          </dPt>
          <cat>
            <numRef>
              <f>'Resumen'!$A$9:$A$14</f>
            </numRef>
          </cat>
          <val>
            <numRef>
              <f>'Resumen'!$B$9:$B$14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Deuda Total por Ciudad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'Resumen'!C17</f>
            </strRef>
          </tx>
          <spPr>
            <a:solidFill xmlns:a="http://schemas.openxmlformats.org/drawingml/2006/main">
              <a:srgbClr val="C8102E"/>
            </a:solidFill>
            <a:ln xmlns:a="http://schemas.openxmlformats.org/drawingml/2006/main">
              <a:prstDash val="solid"/>
            </a:ln>
          </spPr>
          <cat>
            <numRef>
              <f>'Resumen'!$A$18:$A$24</f>
            </numRef>
          </cat>
          <val>
            <numRef>
              <f>'Resumen'!$C$18:$C$24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Ciudad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Importe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5</col>
      <colOff>0</colOff>
      <row>2</row>
      <rowOff>0</rowOff>
    </from>
    <ext cx="576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17</row>
      <rowOff>0</rowOff>
    </from>
    <ext cx="504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5</col>
      <colOff>0</colOff>
      <row>31</row>
      <rowOff>0</rowOff>
    </from>
    <ext cx="5760000" cy="360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2" customWidth="1" min="2" max="2"/>
    <col width="20" customWidth="1" min="3" max="3"/>
    <col width="13" customWidth="1" min="4" max="4"/>
    <col width="28" customWidth="1" min="5" max="5"/>
    <col width="12" customWidth="1" min="6" max="6"/>
    <col width="22" customWidth="1" min="7" max="7"/>
    <col width="16" customWidth="1" min="8" max="8"/>
    <col width="16" customWidth="1" min="9" max="9"/>
    <col width="16" customWidth="1" min="10" max="10"/>
    <col width="13" customWidth="1" min="11" max="11"/>
    <col width="15" customWidth="1" min="12" max="12"/>
    <col width="16" customWidth="1" min="13" max="13"/>
    <col width="15" customWidth="1" min="14" max="14"/>
    <col width="15" customWidth="1" min="15" max="15"/>
    <col width="15" customWidth="1" min="16" max="16"/>
    <col width="18" customWidth="1" min="17" max="17"/>
    <col width="13" customWidth="1" min="18" max="18"/>
    <col width="16" customWidth="1" min="19" max="19"/>
    <col width="10" customWidth="1" min="20" max="20"/>
    <col width="30" customWidth="1" min="21" max="21"/>
  </cols>
  <sheetData>
    <row r="1" ht="30" customHeight="1">
      <c r="A1" s="1" t="inlineStr">
        <is>
          <t>ID Expediente</t>
        </is>
      </c>
      <c r="B1" s="1" t="inlineStr">
        <is>
          <t>Propietario / SL Patrimonial</t>
        </is>
      </c>
      <c r="C1" s="1" t="inlineStr">
        <is>
          <t>Inquilino</t>
        </is>
      </c>
      <c r="D1" s="1" t="inlineStr">
        <is>
          <t>NIF Inquilino</t>
        </is>
      </c>
      <c r="E1" s="1" t="inlineStr">
        <is>
          <t>Dirección del Inmueble</t>
        </is>
      </c>
      <c r="F1" s="1" t="inlineStr">
        <is>
          <t>Ciudad</t>
        </is>
      </c>
      <c r="G1" s="1" t="inlineStr">
        <is>
          <t>Referencia Catastral</t>
        </is>
      </c>
      <c r="H1" s="1" t="inlineStr">
        <is>
          <t>Tipo de Contrato</t>
        </is>
      </c>
      <c r="I1" s="1" t="inlineStr">
        <is>
          <t>Fecha Inicio Contrato</t>
        </is>
      </c>
      <c r="J1" s="1" t="inlineStr">
        <is>
          <t>Fecha Primer Impago</t>
        </is>
      </c>
      <c r="K1" s="1" t="inlineStr">
        <is>
          <t>Meses Impagados</t>
        </is>
      </c>
      <c r="L1" s="1" t="inlineStr">
        <is>
          <t>Renta Mensual (€)</t>
        </is>
      </c>
      <c r="M1" s="1" t="inlineStr">
        <is>
          <t>Importe Adeudado (€)</t>
        </is>
      </c>
      <c r="N1" s="1" t="inlineStr">
        <is>
          <t>Fianza Depositada (€)</t>
        </is>
      </c>
      <c r="O1" s="1" t="inlineStr">
        <is>
          <t>Gastos Reclamados (€)</t>
        </is>
      </c>
      <c r="P1" s="1" t="inlineStr">
        <is>
          <t>Total Reclamado (€)</t>
        </is>
      </c>
      <c r="Q1" s="1" t="inlineStr">
        <is>
          <t>Estado del Expediente</t>
        </is>
      </c>
      <c r="R1" s="1" t="inlineStr">
        <is>
          <t>Días de Retraso</t>
        </is>
      </c>
      <c r="S1" s="1" t="inlineStr">
        <is>
          <t>Probabilidad Cobro (%)</t>
        </is>
      </c>
      <c r="T1" s="1" t="inlineStr">
        <is>
          <t>Alerta</t>
        </is>
      </c>
      <c r="U1" s="1" t="inlineStr">
        <is>
          <t>Observaciones</t>
        </is>
      </c>
    </row>
    <row r="2" ht="18" customHeight="1">
      <c r="A2" s="2" t="inlineStr">
        <is>
          <t>EXP-001</t>
        </is>
      </c>
      <c r="B2" s="2" t="inlineStr">
        <is>
          <t>Inversiones García SL</t>
        </is>
      </c>
      <c r="C2" s="2" t="inlineStr">
        <is>
          <t>María García</t>
        </is>
      </c>
      <c r="D2" s="2" t="inlineStr">
        <is>
          <t>12345678Z</t>
        </is>
      </c>
      <c r="E2" s="2" t="inlineStr">
        <is>
          <t>Calle Mayor 12 3ºB</t>
        </is>
      </c>
      <c r="F2" s="2" t="inlineStr">
        <is>
          <t>Madrid</t>
        </is>
      </c>
      <c r="G2" s="2" t="inlineStr">
        <is>
          <t>9872301VV3490A0001PQ</t>
        </is>
      </c>
      <c r="H2" s="2" t="inlineStr">
        <is>
          <t>Vivienda habitual</t>
        </is>
      </c>
      <c r="I2" s="40" t="n">
        <v>45352</v>
      </c>
      <c r="J2" s="40" t="n">
        <v>46023</v>
      </c>
      <c r="K2" s="41" t="n">
        <v>5</v>
      </c>
      <c r="L2" s="42" t="n">
        <v>950</v>
      </c>
      <c r="M2" s="42">
        <f>K2*L2</f>
        <v/>
      </c>
      <c r="N2" s="42" t="n">
        <v>950</v>
      </c>
      <c r="O2" s="42" t="n">
        <v>120</v>
      </c>
      <c r="P2" s="42">
        <f>M2+O2-N2</f>
        <v/>
      </c>
      <c r="Q2" s="6" t="inlineStr">
        <is>
          <t>Juicio</t>
        </is>
      </c>
      <c r="R2" s="41">
        <f>IFERROR(TODAY()-J2,0)</f>
        <v/>
      </c>
      <c r="S2" s="43">
        <f>IF(Q2="Cobrado",100,IF(Q2="Cobrado parcial",85,IF(Q2="Acuerdo",70,IF(Q2="Juicio",50,IF(Q2="Reclamado",40,20)))))</f>
        <v/>
      </c>
      <c r="T2" s="8">
        <f>IF(R2&gt;30,"ALERTA","")</f>
        <v/>
      </c>
      <c r="U2" s="2" t="inlineStr">
        <is>
          <t>Burofax enviado 15/01/2026</t>
        </is>
      </c>
    </row>
    <row r="3" ht="18" customHeight="1">
      <c r="A3" s="9" t="inlineStr">
        <is>
          <t>EXP-002</t>
        </is>
      </c>
      <c r="B3" s="9" t="inlineStr">
        <is>
          <t>Antonio López Inmuebles</t>
        </is>
      </c>
      <c r="C3" s="9" t="inlineStr">
        <is>
          <t>Antonio López</t>
        </is>
      </c>
      <c r="D3" s="9" t="inlineStr">
        <is>
          <t>23456789A</t>
        </is>
      </c>
      <c r="E3" s="9" t="inlineStr">
        <is>
          <t>Av. Diagonal 405 2º1ª</t>
        </is>
      </c>
      <c r="F3" s="9" t="inlineStr">
        <is>
          <t>Barcelona</t>
        </is>
      </c>
      <c r="G3" s="9" t="inlineStr">
        <is>
          <t>0900201DF2890A0001MP</t>
        </is>
      </c>
      <c r="H3" s="9" t="inlineStr">
        <is>
          <t>Vivienda habitual</t>
        </is>
      </c>
      <c r="I3" s="44" t="n">
        <v>45122</v>
      </c>
      <c r="J3" s="44" t="n">
        <v>46054</v>
      </c>
      <c r="K3" s="45" t="n">
        <v>4</v>
      </c>
      <c r="L3" s="46" t="n">
        <v>1200</v>
      </c>
      <c r="M3" s="46">
        <f>K3*L3</f>
        <v/>
      </c>
      <c r="N3" s="46" t="n">
        <v>1200</v>
      </c>
      <c r="O3" s="46" t="n">
        <v>80</v>
      </c>
      <c r="P3" s="46">
        <f>M3+O3-N3</f>
        <v/>
      </c>
      <c r="Q3" s="13" t="inlineStr">
        <is>
          <t>Reclamado</t>
        </is>
      </c>
      <c r="R3" s="45">
        <f>IFERROR(TODAY()-J3,0)</f>
        <v/>
      </c>
      <c r="S3" s="47">
        <f>IF(Q3="Cobrado",100,IF(Q3="Cobrado parcial",85,IF(Q3="Acuerdo",70,IF(Q3="Juicio",50,IF(Q3="Reclamado",40,20)))))</f>
        <v/>
      </c>
      <c r="T3" s="15">
        <f>IF(R3&gt;30,"ALERTA","")</f>
        <v/>
      </c>
      <c r="U3" s="9" t="inlineStr">
        <is>
          <t>Notificación enviada por correo certificado</t>
        </is>
      </c>
    </row>
    <row r="4" ht="18" customHeight="1">
      <c r="A4" s="2" t="inlineStr">
        <is>
          <t>EXP-003</t>
        </is>
      </c>
      <c r="B4" s="2" t="inlineStr">
        <is>
          <t>Carmen Ruiz Patrimonio SL</t>
        </is>
      </c>
      <c r="C4" s="2" t="inlineStr">
        <is>
          <t>Carmen Ruiz</t>
        </is>
      </c>
      <c r="D4" s="2" t="inlineStr">
        <is>
          <t>34567890B</t>
        </is>
      </c>
      <c r="E4" s="2" t="inlineStr">
        <is>
          <t>Calle Sierpes 8 1ºA</t>
        </is>
      </c>
      <c r="F4" s="2" t="inlineStr">
        <is>
          <t>Sevilla</t>
        </is>
      </c>
      <c r="G4" s="2" t="inlineStr">
        <is>
          <t>4109301TG3430A0001SX</t>
        </is>
      </c>
      <c r="H4" s="2" t="inlineStr">
        <is>
          <t>Temporada</t>
        </is>
      </c>
      <c r="I4" s="40" t="n">
        <v>45901</v>
      </c>
      <c r="J4" s="40" t="n">
        <v>46082</v>
      </c>
      <c r="K4" s="41" t="n">
        <v>3</v>
      </c>
      <c r="L4" s="42" t="n">
        <v>750</v>
      </c>
      <c r="M4" s="42">
        <f>K4*L4</f>
        <v/>
      </c>
      <c r="N4" s="42" t="n">
        <v>750</v>
      </c>
      <c r="O4" s="42" t="n">
        <v>60</v>
      </c>
      <c r="P4" s="42">
        <f>M4+O4-N4</f>
        <v/>
      </c>
      <c r="Q4" s="6" t="inlineStr">
        <is>
          <t>Pendiente</t>
        </is>
      </c>
      <c r="R4" s="41">
        <f>IFERROR(TODAY()-J4,0)</f>
        <v/>
      </c>
      <c r="S4" s="43">
        <f>IF(Q4="Cobrado",100,IF(Q4="Cobrado parcial",85,IF(Q4="Acuerdo",70,IF(Q4="Juicio",50,IF(Q4="Reclamado",40,20)))))</f>
        <v/>
      </c>
      <c r="T4" s="8">
        <f>IF(R4&gt;30,"ALERTA","")</f>
        <v/>
      </c>
      <c r="U4" s="2" t="inlineStr">
        <is>
          <t>Primer contacto realizado sin respuesta</t>
        </is>
      </c>
    </row>
    <row r="5" ht="18" customHeight="1">
      <c r="A5" s="9" t="inlineStr">
        <is>
          <t>EXP-004</t>
        </is>
      </c>
      <c r="B5" s="9" t="inlineStr">
        <is>
          <t>José Martínez e Hijos SL</t>
        </is>
      </c>
      <c r="C5" s="9" t="inlineStr">
        <is>
          <t>José Martínez</t>
        </is>
      </c>
      <c r="D5" s="9" t="inlineStr">
        <is>
          <t>45678901C</t>
        </is>
      </c>
      <c r="E5" s="9" t="inlineStr">
        <is>
          <t>Calle Colón 22 4ºB</t>
        </is>
      </c>
      <c r="F5" s="9" t="inlineStr">
        <is>
          <t>Valencia</t>
        </is>
      </c>
      <c r="G5" s="9" t="inlineStr">
        <is>
          <t>4625001YJ2725A0001HR</t>
        </is>
      </c>
      <c r="H5" s="9" t="inlineStr">
        <is>
          <t>Vivienda habitual</t>
        </is>
      </c>
      <c r="I5" s="44" t="n">
        <v>44866</v>
      </c>
      <c r="J5" s="44" t="n">
        <v>45962</v>
      </c>
      <c r="K5" s="45" t="n">
        <v>6</v>
      </c>
      <c r="L5" s="46" t="n">
        <v>850</v>
      </c>
      <c r="M5" s="46">
        <f>K5*L5</f>
        <v/>
      </c>
      <c r="N5" s="46" t="n">
        <v>850</v>
      </c>
      <c r="O5" s="46" t="n">
        <v>200</v>
      </c>
      <c r="P5" s="46">
        <f>M5+O5-N5</f>
        <v/>
      </c>
      <c r="Q5" s="13" t="inlineStr">
        <is>
          <t>Acuerdo</t>
        </is>
      </c>
      <c r="R5" s="45">
        <f>IFERROR(TODAY()-J5,0)</f>
        <v/>
      </c>
      <c r="S5" s="47">
        <f>IF(Q5="Cobrado",100,IF(Q5="Cobrado parcial",85,IF(Q5="Acuerdo",70,IF(Q5="Juicio",50,IF(Q5="Reclamado",40,20)))))</f>
        <v/>
      </c>
      <c r="T5" s="15">
        <f>IF(R5&gt;30,"ALERTA","")</f>
        <v/>
      </c>
      <c r="U5" s="9" t="inlineStr">
        <is>
          <t>Plan de pago acordado: 200€/mes</t>
        </is>
      </c>
    </row>
    <row r="6" ht="18" customHeight="1">
      <c r="A6" s="2" t="inlineStr">
        <is>
          <t>EXP-005</t>
        </is>
      </c>
      <c r="B6" s="2" t="inlineStr">
        <is>
          <t>Fernández Capital SL</t>
        </is>
      </c>
      <c r="C6" s="2" t="inlineStr">
        <is>
          <t>Laura Fernández</t>
        </is>
      </c>
      <c r="D6" s="2" t="inlineStr">
        <is>
          <t>56789012D</t>
        </is>
      </c>
      <c r="E6" s="2" t="inlineStr">
        <is>
          <t>Paseo de Gracia 88 3ºC</t>
        </is>
      </c>
      <c r="F6" s="2" t="inlineStr">
        <is>
          <t>Barcelona</t>
        </is>
      </c>
      <c r="G6" s="2" t="inlineStr">
        <is>
          <t>0900301DF3990A0001KT</t>
        </is>
      </c>
      <c r="H6" s="2" t="inlineStr">
        <is>
          <t>Local</t>
        </is>
      </c>
      <c r="I6" s="40" t="n">
        <v>44348</v>
      </c>
      <c r="J6" s="40" t="n">
        <v>46037</v>
      </c>
      <c r="K6" s="41" t="n">
        <v>5</v>
      </c>
      <c r="L6" s="42" t="n">
        <v>1650</v>
      </c>
      <c r="M6" s="42">
        <f>K6*L6</f>
        <v/>
      </c>
      <c r="N6" s="42" t="n">
        <v>1650</v>
      </c>
      <c r="O6" s="42" t="n">
        <v>350</v>
      </c>
      <c r="P6" s="42">
        <f>M6+O6-N6</f>
        <v/>
      </c>
      <c r="Q6" s="6" t="inlineStr">
        <is>
          <t>Juicio</t>
        </is>
      </c>
      <c r="R6" s="41">
        <f>IFERROR(TODAY()-J6,0)</f>
        <v/>
      </c>
      <c r="S6" s="43">
        <f>IF(Q6="Cobrado",100,IF(Q6="Cobrado parcial",85,IF(Q6="Acuerdo",70,IF(Q6="Juicio",50,IF(Q6="Reclamado",40,20)))))</f>
        <v/>
      </c>
      <c r="T6" s="8">
        <f>IF(R6&gt;30,"ALERTA","")</f>
        <v/>
      </c>
      <c r="U6" s="2" t="inlineStr">
        <is>
          <t>Demanda de desahucio presentada</t>
        </is>
      </c>
    </row>
    <row r="7" ht="18" customHeight="1">
      <c r="A7" s="9" t="inlineStr">
        <is>
          <t>EXP-006</t>
        </is>
      </c>
      <c r="B7" s="9" t="inlineStr">
        <is>
          <t>Manuel Sánchez Rentas SL</t>
        </is>
      </c>
      <c r="C7" s="9" t="inlineStr">
        <is>
          <t>Manuel Sánchez</t>
        </is>
      </c>
      <c r="D7" s="9" t="inlineStr">
        <is>
          <t>67890123E</t>
        </is>
      </c>
      <c r="E7" s="9" t="inlineStr">
        <is>
          <t>Gran Vía 15 2ºA</t>
        </is>
      </c>
      <c r="F7" s="9" t="inlineStr">
        <is>
          <t>Madrid</t>
        </is>
      </c>
      <c r="G7" s="9" t="inlineStr">
        <is>
          <t>9872401VV3491A0001ZP</t>
        </is>
      </c>
      <c r="H7" s="9" t="inlineStr">
        <is>
          <t>Vivienda habitual</t>
        </is>
      </c>
      <c r="I7" s="44" t="n">
        <v>45301</v>
      </c>
      <c r="J7" s="44" t="n">
        <v>46113</v>
      </c>
      <c r="K7" s="45" t="n">
        <v>2</v>
      </c>
      <c r="L7" s="46" t="n">
        <v>1100</v>
      </c>
      <c r="M7" s="46">
        <f>K7*L7</f>
        <v/>
      </c>
      <c r="N7" s="46" t="n">
        <v>1100</v>
      </c>
      <c r="O7" s="46" t="n">
        <v>90</v>
      </c>
      <c r="P7" s="46">
        <f>M7+O7-N7</f>
        <v/>
      </c>
      <c r="Q7" s="13" t="inlineStr">
        <is>
          <t>Pendiente</t>
        </is>
      </c>
      <c r="R7" s="45">
        <f>IFERROR(TODAY()-J7,0)</f>
        <v/>
      </c>
      <c r="S7" s="47">
        <f>IF(Q7="Cobrado",100,IF(Q7="Cobrado parcial",85,IF(Q7="Acuerdo",70,IF(Q7="Juicio",50,IF(Q7="Reclamado",40,20)))))</f>
        <v/>
      </c>
      <c r="T7" s="15">
        <f>IF(R7&gt;30,"ALERTA","")</f>
        <v/>
      </c>
      <c r="U7" s="9" t="inlineStr">
        <is>
          <t>Se intentó contacto telefónico sin éxito</t>
        </is>
      </c>
    </row>
    <row r="8" ht="18" customHeight="1">
      <c r="A8" s="2" t="inlineStr">
        <is>
          <t>EXP-007</t>
        </is>
      </c>
      <c r="B8" s="2" t="inlineStr">
        <is>
          <t>Torres Inversiones SL</t>
        </is>
      </c>
      <c r="C8" s="2" t="inlineStr">
        <is>
          <t>Elena Torres</t>
        </is>
      </c>
      <c r="D8" s="2" t="inlineStr">
        <is>
          <t>78901234F</t>
        </is>
      </c>
      <c r="E8" s="2" t="inlineStr">
        <is>
          <t>Avenida de la Constitución 31</t>
        </is>
      </c>
      <c r="F8" s="2" t="inlineStr">
        <is>
          <t>Málaga</t>
        </is>
      </c>
      <c r="G8" s="2" t="inlineStr">
        <is>
          <t>2904901UF5330A0001BV</t>
        </is>
      </c>
      <c r="H8" s="2" t="inlineStr">
        <is>
          <t>Temporada</t>
        </is>
      </c>
      <c r="I8" s="40" t="n">
        <v>45962</v>
      </c>
      <c r="J8" s="40" t="n">
        <v>46068</v>
      </c>
      <c r="K8" s="41" t="n">
        <v>3</v>
      </c>
      <c r="L8" s="42" t="n">
        <v>870</v>
      </c>
      <c r="M8" s="42">
        <f>K8*L8</f>
        <v/>
      </c>
      <c r="N8" s="42" t="n">
        <v>870</v>
      </c>
      <c r="O8" s="42" t="n">
        <v>110</v>
      </c>
      <c r="P8" s="42">
        <f>M8+O8-N8</f>
        <v/>
      </c>
      <c r="Q8" s="6" t="inlineStr">
        <is>
          <t>Cobrado parcial</t>
        </is>
      </c>
      <c r="R8" s="41">
        <f>IFERROR(TODAY()-J8,0)</f>
        <v/>
      </c>
      <c r="S8" s="43">
        <f>IF(Q8="Cobrado",100,IF(Q8="Cobrado parcial",85,IF(Q8="Acuerdo",70,IF(Q8="Juicio",50,IF(Q8="Reclamado",40,20)))))</f>
        <v/>
      </c>
      <c r="T8" s="8">
        <f>IF(R8&gt;30,"ALERTA","")</f>
        <v/>
      </c>
      <c r="U8" s="2" t="inlineStr">
        <is>
          <t>Cobró 2 mensualidades; resta 1</t>
        </is>
      </c>
    </row>
    <row r="9" ht="18" customHeight="1">
      <c r="A9" s="9" t="inlineStr">
        <is>
          <t>EXP-008</t>
        </is>
      </c>
      <c r="B9" s="9" t="inlineStr">
        <is>
          <t>Navarro Patrimonial SL</t>
        </is>
      </c>
      <c r="C9" s="9" t="inlineStr">
        <is>
          <t>Pablo Navarro</t>
        </is>
      </c>
      <c r="D9" s="9" t="inlineStr">
        <is>
          <t>89012345G</t>
        </is>
      </c>
      <c r="E9" s="9" t="inlineStr">
        <is>
          <t>Calle Reyes Católicos 10 1ºB</t>
        </is>
      </c>
      <c r="F9" s="9" t="inlineStr">
        <is>
          <t>Zaragoza</t>
        </is>
      </c>
      <c r="G9" s="9" t="inlineStr">
        <is>
          <t>5002601XM8091A0001FC</t>
        </is>
      </c>
      <c r="H9" s="9" t="inlineStr">
        <is>
          <t>Vivienda habitual</t>
        </is>
      </c>
      <c r="I9" s="44" t="n">
        <v>45017</v>
      </c>
      <c r="J9" s="44" t="n">
        <v>46091</v>
      </c>
      <c r="K9" s="45" t="n">
        <v>2</v>
      </c>
      <c r="L9" s="46" t="n">
        <v>700</v>
      </c>
      <c r="M9" s="46">
        <f>K9*L9</f>
        <v/>
      </c>
      <c r="N9" s="46" t="n">
        <v>700</v>
      </c>
      <c r="O9" s="46" t="n">
        <v>50</v>
      </c>
      <c r="P9" s="46">
        <f>M9+O9-N9</f>
        <v/>
      </c>
      <c r="Q9" s="13" t="inlineStr">
        <is>
          <t>Cobrado</t>
        </is>
      </c>
      <c r="R9" s="45">
        <f>IFERROR(TODAY()-J9,0)</f>
        <v/>
      </c>
      <c r="S9" s="47">
        <f>IF(Q9="Cobrado",100,IF(Q9="Cobrado parcial",85,IF(Q9="Acuerdo",70,IF(Q9="Juicio",50,IF(Q9="Reclamado",40,20)))))</f>
        <v/>
      </c>
      <c r="T9" s="15">
        <f>IF(R9&gt;30,"ALERTA","")</f>
        <v/>
      </c>
      <c r="U9" s="9" t="inlineStr">
        <is>
          <t>Deuda totalmente cancelada en abril 2026</t>
        </is>
      </c>
    </row>
    <row r="10" ht="18" customHeight="1">
      <c r="A10" s="2" t="inlineStr">
        <is>
          <t>EXP-009</t>
        </is>
      </c>
      <c r="B10" s="2" t="inlineStr">
        <is>
          <t>Romero Gestión Inmobiliaria</t>
        </is>
      </c>
      <c r="C10" s="2" t="inlineStr">
        <is>
          <t>Sonia Romero</t>
        </is>
      </c>
      <c r="D10" s="2" t="inlineStr">
        <is>
          <t>90123456H</t>
        </is>
      </c>
      <c r="E10" s="2" t="inlineStr">
        <is>
          <t>Ronda de Sant Pere 54 3ºD</t>
        </is>
      </c>
      <c r="F10" s="2" t="inlineStr">
        <is>
          <t>Barcelona</t>
        </is>
      </c>
      <c r="G10" s="2" t="inlineStr">
        <is>
          <t>0900401DF4090A0001LW</t>
        </is>
      </c>
      <c r="H10" s="2" t="inlineStr">
        <is>
          <t>Vivienda habitual</t>
        </is>
      </c>
      <c r="I10" s="40" t="n">
        <v>45505</v>
      </c>
      <c r="J10" s="40" t="n">
        <v>46023</v>
      </c>
      <c r="K10" s="41" t="n">
        <v>5</v>
      </c>
      <c r="L10" s="42" t="n">
        <v>1350</v>
      </c>
      <c r="M10" s="42">
        <f>K10*L10</f>
        <v/>
      </c>
      <c r="N10" s="42" t="n">
        <v>1350</v>
      </c>
      <c r="O10" s="42" t="n">
        <v>180</v>
      </c>
      <c r="P10" s="42">
        <f>M10+O10-N10</f>
        <v/>
      </c>
      <c r="Q10" s="6" t="inlineStr">
        <is>
          <t>Reclamado</t>
        </is>
      </c>
      <c r="R10" s="41">
        <f>IFERROR(TODAY()-J10,0)</f>
        <v/>
      </c>
      <c r="S10" s="43">
        <f>IF(Q10="Cobrado",100,IF(Q10="Cobrado parcial",85,IF(Q10="Acuerdo",70,IF(Q10="Juicio",50,IF(Q10="Reclamado",40,20)))))</f>
        <v/>
      </c>
      <c r="T10" s="8">
        <f>IF(R10&gt;30,"ALERTA","")</f>
        <v/>
      </c>
      <c r="U10" s="2" t="inlineStr">
        <is>
          <t>Mediación en curso</t>
        </is>
      </c>
    </row>
    <row r="11" ht="18" customHeight="1">
      <c r="A11" s="9" t="inlineStr">
        <is>
          <t>EXP-010</t>
        </is>
      </c>
      <c r="B11" s="9" t="inlineStr">
        <is>
          <t>Moreno Bienes Raíces SL</t>
        </is>
      </c>
      <c r="C11" s="9" t="inlineStr">
        <is>
          <t>David Moreno</t>
        </is>
      </c>
      <c r="D11" s="9" t="inlineStr">
        <is>
          <t>01234567I</t>
        </is>
      </c>
      <c r="E11" s="9" t="inlineStr">
        <is>
          <t>Calle Fernando III 9 2ºA</t>
        </is>
      </c>
      <c r="F11" s="9" t="inlineStr">
        <is>
          <t>Murcia</t>
        </is>
      </c>
      <c r="G11" s="9" t="inlineStr">
        <is>
          <t>3001901XG3490A0001NM</t>
        </is>
      </c>
      <c r="H11" s="9" t="inlineStr">
        <is>
          <t>Local</t>
        </is>
      </c>
      <c r="I11" s="44" t="n">
        <v>44593</v>
      </c>
      <c r="J11" s="44" t="n">
        <v>45992</v>
      </c>
      <c r="K11" s="45" t="n">
        <v>6</v>
      </c>
      <c r="L11" s="46" t="n">
        <v>650</v>
      </c>
      <c r="M11" s="46">
        <f>K11*L11</f>
        <v/>
      </c>
      <c r="N11" s="46" t="n">
        <v>650</v>
      </c>
      <c r="O11" s="46" t="n">
        <v>95</v>
      </c>
      <c r="P11" s="46">
        <f>M11+O11-N11</f>
        <v/>
      </c>
      <c r="Q11" s="13" t="inlineStr">
        <is>
          <t>Acuerdo</t>
        </is>
      </c>
      <c r="R11" s="45">
        <f>IFERROR(TODAY()-J11,0)</f>
        <v/>
      </c>
      <c r="S11" s="47">
        <f>IF(Q11="Cobrado",100,IF(Q11="Cobrado parcial",85,IF(Q11="Acuerdo",70,IF(Q11="Juicio",50,IF(Q11="Reclamado",40,20)))))</f>
        <v/>
      </c>
      <c r="T11" s="15">
        <f>IF(R11&gt;30,"ALERTA","")</f>
        <v/>
      </c>
      <c r="U11" s="9" t="inlineStr">
        <is>
          <t>Acuerdo extrajudicial firmado</t>
        </is>
      </c>
    </row>
    <row r="12">
      <c r="A12" s="16" t="inlineStr">
        <is>
          <t>TOTALES</t>
        </is>
      </c>
      <c r="B12" s="17" t="n"/>
      <c r="C12" s="17" t="n"/>
      <c r="D12" s="17" t="n"/>
      <c r="E12" s="17" t="n"/>
      <c r="F12" s="17" t="n"/>
      <c r="G12" s="17" t="n"/>
      <c r="H12" s="17" t="n"/>
      <c r="I12" s="17" t="n"/>
      <c r="J12" s="17" t="n"/>
      <c r="K12" s="48">
        <f>SUM(K2:K11)</f>
        <v/>
      </c>
      <c r="L12" s="49">
        <f>AVERAGE(L2:L11)</f>
        <v/>
      </c>
      <c r="M12" s="49">
        <f>SUM(M2:M11)</f>
        <v/>
      </c>
      <c r="N12" s="49">
        <f>SUM(N2:N11)</f>
        <v/>
      </c>
      <c r="O12" s="49">
        <f>SUM(O2:O11)</f>
        <v/>
      </c>
      <c r="P12" s="49">
        <f>SUM(P2:P11)</f>
        <v/>
      </c>
      <c r="Q12" s="17" t="n"/>
      <c r="R12" s="20">
        <f>AVERAGE(R2:R11)</f>
        <v/>
      </c>
      <c r="S12" s="17" t="n"/>
      <c r="T12" s="17" t="n"/>
      <c r="U12" s="17" t="n"/>
    </row>
  </sheetData>
  <conditionalFormatting sqref="A2:T11">
    <cfRule type="expression" priority="1" dxfId="0" stopIfTrue="0">
      <formula>$R2&gt;30</formula>
    </cfRule>
    <cfRule type="expression" priority="2" dxfId="1" stopIfTrue="0">
      <formula>$Q2="Cobrado"</formula>
    </cfRule>
    <cfRule type="expression" priority="3" dxfId="2" stopIfTrue="0">
      <formula>OR($Q2="Pendiente",$Q2="Reclamado")</formula>
    </cfRule>
  </conditionalFormatting>
  <dataValidations count="1">
    <dataValidation sqref="Q2:Q200" showErrorMessage="1" showInputMessage="1" allowBlank="0" type="list">
      <formula1>"Pendiente,Reclamado,Acuerdo,Juicio,Cobrado parcial,Cobrado"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30"/>
  <sheetViews>
    <sheetView showGridLines="0"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</cols>
  <sheetData>
    <row r="1" ht="32" customHeight="1">
      <c r="A1" s="21" t="inlineStr">
        <is>
          <t>RESUMEN — SEGUIMIENTO DE IMPAGOS DE INQUILINOS</t>
        </is>
      </c>
      <c r="B1" s="22" t="n"/>
      <c r="C1" s="22" t="n"/>
      <c r="D1" s="22" t="n"/>
      <c r="E1" s="22" t="n"/>
      <c r="F1" s="22" t="n"/>
      <c r="G1" s="23" t="n"/>
    </row>
    <row r="2"/>
    <row r="3">
      <c r="A3" s="24" t="inlineStr">
        <is>
          <t>INDICADORES CLAVE (KPIs)</t>
        </is>
      </c>
      <c r="B3" s="22" t="n"/>
      <c r="C3" s="22" t="n"/>
      <c r="D3" s="22" t="n"/>
      <c r="E3" s="22" t="n"/>
      <c r="F3" s="22" t="n"/>
      <c r="G3" s="23" t="n"/>
    </row>
    <row r="4" ht="20" customHeight="1">
      <c r="A4" s="25" t="inlineStr">
        <is>
          <t>Total expedientes</t>
        </is>
      </c>
      <c r="B4" s="25" t="inlineStr">
        <is>
          <t>Total deuda pendiente (€)</t>
        </is>
      </c>
      <c r="C4" s="25" t="inlineStr">
        <is>
          <t>Total reclamado (€)</t>
        </is>
      </c>
      <c r="D4" s="25" t="inlineStr">
        <is>
          <t>Retraso medio (días)</t>
        </is>
      </c>
      <c r="E4" s="25" t="inlineStr">
        <is>
          <t>Expedientes en juicio</t>
        </is>
      </c>
      <c r="F4" s="25" t="inlineStr">
        <is>
          <t>% expedientes en juicio</t>
        </is>
      </c>
    </row>
    <row r="5" ht="28" customHeight="1">
      <c r="A5" s="26">
        <f>COUNTA(Impagos!A2:A11)</f>
        <v/>
      </c>
      <c r="B5" s="50">
        <f>SUMIF(Impagos!Q2:Q11,"&lt;&gt;Cobrado",Impagos!P2:P11)</f>
        <v/>
      </c>
      <c r="C5" s="50">
        <f>SUM(Impagos!P2:P11)</f>
        <v/>
      </c>
      <c r="D5" s="26">
        <f>IFERROR(AVERAGE(Impagos!R2:R11),0)</f>
        <v/>
      </c>
      <c r="E5" s="26">
        <f>COUNTIF(Impagos!Q2:Q11,"Juicio")</f>
        <v/>
      </c>
      <c r="F5" s="51">
        <f>IFERROR(COUNTIF(Impagos!Q2:Q11,"Juicio")/COUNTA(Impagos!A2:A11)*100,0)</f>
        <v/>
      </c>
    </row>
    <row r="6" ht="10" customHeight="1"/>
    <row r="7">
      <c r="A7" s="29" t="inlineStr">
        <is>
          <t>RESUMEN POR ESTADO DEL EXPEDIENTE</t>
        </is>
      </c>
      <c r="B7" s="22" t="n"/>
      <c r="C7" s="22" t="n"/>
      <c r="D7" s="23" t="n"/>
    </row>
    <row r="8">
      <c r="A8" s="30" t="inlineStr">
        <is>
          <t>Estado</t>
        </is>
      </c>
      <c r="B8" s="30" t="inlineStr">
        <is>
          <t>Nº Expedientes</t>
        </is>
      </c>
      <c r="C8" s="30" t="inlineStr">
        <is>
          <t>Deuda Total (€)</t>
        </is>
      </c>
      <c r="D8" s="30" t="inlineStr">
        <is>
          <t>% del Total</t>
        </is>
      </c>
    </row>
    <row r="9" ht="18" customHeight="1">
      <c r="A9" s="2" t="inlineStr">
        <is>
          <t>Pendiente</t>
        </is>
      </c>
      <c r="B9" s="31">
        <f>COUNTIF(Impagos!$Q$2:$Q$11,"Pendiente")</f>
        <v/>
      </c>
      <c r="C9" s="42">
        <f>SUMIF(Impagos!$Q$2:$Q$11,"Pendiente",Impagos!$P$2:$P$11)</f>
        <v/>
      </c>
      <c r="D9" s="52">
        <f>IFERROR(C9/SUM($C$9:$C$14)*100,0)</f>
        <v/>
      </c>
    </row>
    <row r="10" ht="18" customHeight="1">
      <c r="A10" s="9" t="inlineStr">
        <is>
          <t>Reclamado</t>
        </is>
      </c>
      <c r="B10" s="33">
        <f>COUNTIF(Impagos!$Q$2:$Q$11,"Reclamado")</f>
        <v/>
      </c>
      <c r="C10" s="46">
        <f>SUMIF(Impagos!$Q$2:$Q$11,"Reclamado",Impagos!$P$2:$P$11)</f>
        <v/>
      </c>
      <c r="D10" s="53">
        <f>IFERROR(C10/SUM($C$9:$C$14)*100,0)</f>
        <v/>
      </c>
    </row>
    <row r="11" ht="18" customHeight="1">
      <c r="A11" s="2" t="inlineStr">
        <is>
          <t>Acuerdo</t>
        </is>
      </c>
      <c r="B11" s="31">
        <f>COUNTIF(Impagos!$Q$2:$Q$11,"Acuerdo")</f>
        <v/>
      </c>
      <c r="C11" s="42">
        <f>SUMIF(Impagos!$Q$2:$Q$11,"Acuerdo",Impagos!$P$2:$P$11)</f>
        <v/>
      </c>
      <c r="D11" s="52">
        <f>IFERROR(C11/SUM($C$9:$C$14)*100,0)</f>
        <v/>
      </c>
    </row>
    <row r="12" ht="18" customHeight="1">
      <c r="A12" s="9" t="inlineStr">
        <is>
          <t>Juicio</t>
        </is>
      </c>
      <c r="B12" s="33">
        <f>COUNTIF(Impagos!$Q$2:$Q$11,"Juicio")</f>
        <v/>
      </c>
      <c r="C12" s="46">
        <f>SUMIF(Impagos!$Q$2:$Q$11,"Juicio",Impagos!$P$2:$P$11)</f>
        <v/>
      </c>
      <c r="D12" s="53">
        <f>IFERROR(C12/SUM($C$9:$C$14)*100,0)</f>
        <v/>
      </c>
    </row>
    <row r="13" ht="18" customHeight="1">
      <c r="A13" s="2" t="inlineStr">
        <is>
          <t>Cobrado parcial</t>
        </is>
      </c>
      <c r="B13" s="31">
        <f>COUNTIF(Impagos!$Q$2:$Q$11,"Cobrado parcial")</f>
        <v/>
      </c>
      <c r="C13" s="42">
        <f>SUMIF(Impagos!$Q$2:$Q$11,"Cobrado parcial",Impagos!$P$2:$P$11)</f>
        <v/>
      </c>
      <c r="D13" s="52">
        <f>IFERROR(C13/SUM($C$9:$C$14)*100,0)</f>
        <v/>
      </c>
    </row>
    <row r="14" ht="18" customHeight="1">
      <c r="A14" s="9" t="inlineStr">
        <is>
          <t>Cobrado</t>
        </is>
      </c>
      <c r="B14" s="33">
        <f>COUNTIF(Impagos!$Q$2:$Q$11,"Cobrado")</f>
        <v/>
      </c>
      <c r="C14" s="46">
        <f>SUMIF(Impagos!$Q$2:$Q$11,"Cobrado",Impagos!$P$2:$P$11)</f>
        <v/>
      </c>
      <c r="D14" s="53">
        <f>IFERROR(C14/SUM($C$9:$C$14)*100,0)</f>
        <v/>
      </c>
    </row>
    <row r="15" ht="10" customHeight="1"/>
    <row r="16">
      <c r="A16" s="29" t="inlineStr">
        <is>
          <t>RESUMEN POR CIUDAD</t>
        </is>
      </c>
      <c r="B16" s="22" t="n"/>
      <c r="C16" s="22" t="n"/>
      <c r="D16" s="23" t="n"/>
    </row>
    <row r="17">
      <c r="A17" s="30" t="inlineStr">
        <is>
          <t>Ciudad</t>
        </is>
      </c>
      <c r="B17" s="30" t="inlineStr">
        <is>
          <t>Nº Expedientes</t>
        </is>
      </c>
      <c r="C17" s="30" t="inlineStr">
        <is>
          <t>Deuda Total (€)</t>
        </is>
      </c>
      <c r="D17" s="30" t="inlineStr">
        <is>
          <t>Renta Media (€)</t>
        </is>
      </c>
    </row>
    <row r="18" ht="18" customHeight="1">
      <c r="A18" s="2" t="inlineStr">
        <is>
          <t>Madrid</t>
        </is>
      </c>
      <c r="B18" s="31">
        <f>COUNTIF(Impagos!$F$2:$F$11,"Madrid")</f>
        <v/>
      </c>
      <c r="C18" s="42">
        <f>SUMIF(Impagos!$F$2:$F$11,"Madrid",Impagos!$P$2:$P$11)</f>
        <v/>
      </c>
      <c r="D18" s="42">
        <f>IFERROR(AVERAGEIF(Impagos!$F$2:$F$11,"Madrid",Impagos!$L$2:$L$11),0)</f>
        <v/>
      </c>
    </row>
    <row r="19" ht="18" customHeight="1">
      <c r="A19" s="9" t="inlineStr">
        <is>
          <t>Barcelona</t>
        </is>
      </c>
      <c r="B19" s="33">
        <f>COUNTIF(Impagos!$F$2:$F$11,"Barcelona")</f>
        <v/>
      </c>
      <c r="C19" s="46">
        <f>SUMIF(Impagos!$F$2:$F$11,"Barcelona",Impagos!$P$2:$P$11)</f>
        <v/>
      </c>
      <c r="D19" s="46">
        <f>IFERROR(AVERAGEIF(Impagos!$F$2:$F$11,"Barcelona",Impagos!$L$2:$L$11),0)</f>
        <v/>
      </c>
    </row>
    <row r="20" ht="18" customHeight="1">
      <c r="A20" s="2" t="inlineStr">
        <is>
          <t>Sevilla</t>
        </is>
      </c>
      <c r="B20" s="31">
        <f>COUNTIF(Impagos!$F$2:$F$11,"Sevilla")</f>
        <v/>
      </c>
      <c r="C20" s="42">
        <f>SUMIF(Impagos!$F$2:$F$11,"Sevilla",Impagos!$P$2:$P$11)</f>
        <v/>
      </c>
      <c r="D20" s="42">
        <f>IFERROR(AVERAGEIF(Impagos!$F$2:$F$11,"Sevilla",Impagos!$L$2:$L$11),0)</f>
        <v/>
      </c>
    </row>
    <row r="21" ht="18" customHeight="1">
      <c r="A21" s="9" t="inlineStr">
        <is>
          <t>Valencia</t>
        </is>
      </c>
      <c r="B21" s="33">
        <f>COUNTIF(Impagos!$F$2:$F$11,"Valencia")</f>
        <v/>
      </c>
      <c r="C21" s="46">
        <f>SUMIF(Impagos!$F$2:$F$11,"Valencia",Impagos!$P$2:$P$11)</f>
        <v/>
      </c>
      <c r="D21" s="46">
        <f>IFERROR(AVERAGEIF(Impagos!$F$2:$F$11,"Valencia",Impagos!$L$2:$L$11),0)</f>
        <v/>
      </c>
    </row>
    <row r="22" ht="18" customHeight="1">
      <c r="A22" s="2" t="inlineStr">
        <is>
          <t>Málaga</t>
        </is>
      </c>
      <c r="B22" s="31">
        <f>COUNTIF(Impagos!$F$2:$F$11,"Málaga")</f>
        <v/>
      </c>
      <c r="C22" s="42">
        <f>SUMIF(Impagos!$F$2:$F$11,"Málaga",Impagos!$P$2:$P$11)</f>
        <v/>
      </c>
      <c r="D22" s="42">
        <f>IFERROR(AVERAGEIF(Impagos!$F$2:$F$11,"Málaga",Impagos!$L$2:$L$11),0)</f>
        <v/>
      </c>
    </row>
    <row r="23" ht="18" customHeight="1">
      <c r="A23" s="9" t="inlineStr">
        <is>
          <t>Zaragoza</t>
        </is>
      </c>
      <c r="B23" s="33">
        <f>COUNTIF(Impagos!$F$2:$F$11,"Zaragoza")</f>
        <v/>
      </c>
      <c r="C23" s="46">
        <f>SUMIF(Impagos!$F$2:$F$11,"Zaragoza",Impagos!$P$2:$P$11)</f>
        <v/>
      </c>
      <c r="D23" s="46">
        <f>IFERROR(AVERAGEIF(Impagos!$F$2:$F$11,"Zaragoza",Impagos!$L$2:$L$11),0)</f>
        <v/>
      </c>
    </row>
    <row r="24" ht="18" customHeight="1">
      <c r="A24" s="2" t="inlineStr">
        <is>
          <t>Murcia</t>
        </is>
      </c>
      <c r="B24" s="31">
        <f>COUNTIF(Impagos!$F$2:$F$11,"Murcia")</f>
        <v/>
      </c>
      <c r="C24" s="42">
        <f>SUMIF(Impagos!$F$2:$F$11,"Murcia",Impagos!$P$2:$P$11)</f>
        <v/>
      </c>
      <c r="D24" s="42">
        <f>IFERROR(AVERAGEIF(Impagos!$F$2:$F$11,"Murcia",Impagos!$L$2:$L$11),0)</f>
        <v/>
      </c>
    </row>
    <row r="25" ht="10" customHeight="1"/>
    <row r="26">
      <c r="A26" s="29" t="inlineStr">
        <is>
          <t>RESUMEN POR TIPO DE CONTRATO</t>
        </is>
      </c>
      <c r="B26" s="22" t="n"/>
      <c r="C26" s="22" t="n"/>
      <c r="D26" s="23" t="n"/>
    </row>
    <row r="27">
      <c r="A27" s="30" t="inlineStr">
        <is>
          <t>Tipo de Contrato</t>
        </is>
      </c>
      <c r="B27" s="30" t="inlineStr">
        <is>
          <t>Nº Expedientes</t>
        </is>
      </c>
      <c r="C27" s="30" t="inlineStr">
        <is>
          <t>Deuda Total (€)</t>
        </is>
      </c>
      <c r="D27" s="30" t="inlineStr">
        <is>
          <t>Importe Medio (€)</t>
        </is>
      </c>
    </row>
    <row r="28" ht="18" customHeight="1">
      <c r="A28" s="2" t="inlineStr">
        <is>
          <t>Vivienda habitual</t>
        </is>
      </c>
      <c r="B28" s="31">
        <f>COUNTIF(Impagos!$H$2:$H$11,"Vivienda habitual")</f>
        <v/>
      </c>
      <c r="C28" s="42">
        <f>SUMIF(Impagos!$H$2:$H$11,"Vivienda habitual",Impagos!$P$2:$P$11)</f>
        <v/>
      </c>
      <c r="D28" s="42">
        <f>IFERROR(AVERAGEIF(Impagos!$H$2:$H$11,"Vivienda habitual",Impagos!$P$2:$P$11),0)</f>
        <v/>
      </c>
    </row>
    <row r="29" ht="18" customHeight="1">
      <c r="A29" s="9" t="inlineStr">
        <is>
          <t>Temporada</t>
        </is>
      </c>
      <c r="B29" s="33">
        <f>COUNTIF(Impagos!$H$2:$H$11,"Temporada")</f>
        <v/>
      </c>
      <c r="C29" s="46">
        <f>SUMIF(Impagos!$H$2:$H$11,"Temporada",Impagos!$P$2:$P$11)</f>
        <v/>
      </c>
      <c r="D29" s="46">
        <f>IFERROR(AVERAGEIF(Impagos!$H$2:$H$11,"Temporada",Impagos!$P$2:$P$11),0)</f>
        <v/>
      </c>
    </row>
    <row r="30" ht="18" customHeight="1">
      <c r="A30" s="2" t="inlineStr">
        <is>
          <t>Local</t>
        </is>
      </c>
      <c r="B30" s="31">
        <f>COUNTIF(Impagos!$H$2:$H$11,"Local")</f>
        <v/>
      </c>
      <c r="C30" s="42">
        <f>SUMIF(Impagos!$H$2:$H$11,"Local",Impagos!$P$2:$P$11)</f>
        <v/>
      </c>
      <c r="D30" s="42">
        <f>IFERROR(AVERAGEIF(Impagos!$H$2:$H$11,"Local",Impagos!$P$2:$P$11),0)</f>
        <v/>
      </c>
    </row>
  </sheetData>
  <mergeCells count="5">
    <mergeCell ref="A1:G1"/>
    <mergeCell ref="A3:G3"/>
    <mergeCell ref="A7:D7"/>
    <mergeCell ref="A16:D16"/>
    <mergeCell ref="A26:D26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2"/>
  <sheetViews>
    <sheetView showGridLines="0" workbookViewId="0">
      <selection activeCell="A1" sqref="A1"/>
    </sheetView>
  </sheetViews>
  <sheetFormatPr baseColWidth="8" defaultRowHeight="15"/>
  <cols>
    <col width="5" customWidth="1" min="1" max="1"/>
    <col width="95" customWidth="1" min="2" max="2"/>
  </cols>
  <sheetData>
    <row r="1" ht="30" customHeight="1">
      <c r="A1" s="35" t="inlineStr">
        <is>
          <t>INSTRUCCIONES DE USO — SEGUIMIENTO DE IMPAGOS DE INQUILINOS</t>
        </is>
      </c>
      <c r="B1" s="23" t="n"/>
    </row>
    <row r="2" ht="8" customHeight="1">
      <c r="A2" s="36" t="inlineStr"/>
      <c r="B2" s="36" t="inlineStr"/>
    </row>
    <row r="3" ht="22" customHeight="1">
      <c r="A3" s="37" t="inlineStr"/>
      <c r="B3" s="38" t="inlineStr">
        <is>
          <t>INTRODUCCIÓN</t>
        </is>
      </c>
    </row>
    <row r="4" ht="30" customHeight="1">
      <c r="A4" s="36" t="inlineStr"/>
      <c r="B4" s="39" t="inlineStr">
        <is>
          <t>Este fichero permite llevar un control interno de los recibos de renta impagados por inquilinos. Está diseñado para arrendadores particulares y sociedades patrimoniales (SL). No sustituye el asesoramiento jurídico profesional.</t>
        </is>
      </c>
    </row>
    <row r="5" ht="8" customHeight="1">
      <c r="A5" s="36" t="inlineStr"/>
      <c r="B5" s="36" t="inlineStr"/>
    </row>
    <row r="6" ht="22" customHeight="1">
      <c r="A6" s="37" t="inlineStr"/>
      <c r="B6" s="38" t="inlineStr">
        <is>
          <t>CÓMO INTRODUCIR UN NUEVO IMPAGO</t>
        </is>
      </c>
    </row>
    <row r="7" ht="30" customHeight="1">
      <c r="A7" s="36" t="inlineStr"/>
      <c r="B7" s="39" t="inlineStr">
        <is>
          <t>1. Acceda a la hoja 'Impagos' y añada una nueva fila debajo de la última existente.</t>
        </is>
      </c>
    </row>
    <row r="8" ht="30" customHeight="1">
      <c r="A8" s="36" t="inlineStr"/>
      <c r="B8" s="39" t="inlineStr">
        <is>
          <t>2. Rellene todos los campos en color amarillo (celdas de entrada). Los campos en blanco con fórmulas se calcularán automáticamente.</t>
        </is>
      </c>
    </row>
    <row r="9" ht="30" customHeight="1">
      <c r="A9" s="36" t="inlineStr"/>
      <c r="B9" s="39" t="inlineStr">
        <is>
          <t>3. Asigne un ID de expediente correlativo (EXP-011, EXP-012, etc.).</t>
        </is>
      </c>
    </row>
    <row r="10" ht="30" customHeight="1">
      <c r="A10" s="36" t="inlineStr"/>
      <c r="B10" s="39" t="inlineStr">
        <is>
          <t>4. Introduzca las fechas en formato DD/MM/AAAA.</t>
        </is>
      </c>
    </row>
    <row r="11" ht="30" customHeight="1">
      <c r="A11" s="36" t="inlineStr"/>
      <c r="B11" s="39" t="inlineStr">
        <is>
          <t>5. Seleccione el estado del expediente en la columna Q usando la lista desplegable.</t>
        </is>
      </c>
    </row>
    <row r="12" ht="8" customHeight="1">
      <c r="A12" s="36" t="inlineStr"/>
      <c r="B12" s="36" t="inlineStr"/>
    </row>
    <row r="13" ht="22" customHeight="1">
      <c r="A13" s="37" t="inlineStr"/>
      <c r="B13" s="38" t="inlineStr">
        <is>
          <t>SIGNIFICADO DE CADA ESTADO</t>
        </is>
      </c>
    </row>
    <row r="14" ht="30" customHeight="1">
      <c r="A14" s="36" t="inlineStr"/>
      <c r="B14" s="39" t="inlineStr">
        <is>
          <t>• Pendiente: Impago detectado pero aún no se ha iniciado reclamación formal.</t>
        </is>
      </c>
    </row>
    <row r="15" ht="30" customHeight="1">
      <c r="A15" s="36" t="inlineStr"/>
      <c r="B15" s="39" t="inlineStr">
        <is>
          <t>• Reclamado: Se ha enviado comunicación formal (burofax, correo certificado, etc.) al inquilino.</t>
        </is>
      </c>
    </row>
    <row r="16" ht="30" customHeight="1">
      <c r="A16" s="36" t="inlineStr"/>
      <c r="B16" s="39" t="inlineStr">
        <is>
          <t>• Acuerdo: Existe un acuerdo extrajudicial de pago. Verificar cumplimiento periódicamente.</t>
        </is>
      </c>
    </row>
    <row r="17" ht="30" customHeight="1">
      <c r="A17" s="36" t="inlineStr"/>
      <c r="B17" s="39" t="inlineStr">
        <is>
          <t>• Juicio: Se ha presentado demanda de desahucio por falta de pago o proceso monitorio.</t>
        </is>
      </c>
    </row>
    <row r="18" ht="30" customHeight="1">
      <c r="A18" s="36" t="inlineStr"/>
      <c r="B18" s="39" t="inlineStr">
        <is>
          <t>• Cobrado parcial: El inquilino ha abonado parte de la deuda. Actualizar importe adeudado.</t>
        </is>
      </c>
    </row>
    <row r="19" ht="30" customHeight="1">
      <c r="A19" s="36" t="inlineStr"/>
      <c r="B19" s="39" t="inlineStr">
        <is>
          <t>• Cobrado: Deuda totalmente saldada. El expediente queda cerrado.</t>
        </is>
      </c>
    </row>
    <row r="20" ht="8" customHeight="1">
      <c r="A20" s="36" t="inlineStr"/>
      <c r="B20" s="36" t="inlineStr"/>
    </row>
    <row r="21" ht="22" customHeight="1">
      <c r="A21" s="37" t="inlineStr"/>
      <c r="B21" s="38" t="inlineStr">
        <is>
          <t>COLUMNAS CON FÓRMULAS AUTOMÁTICAS</t>
        </is>
      </c>
    </row>
    <row r="22" ht="30" customHeight="1">
      <c r="A22" s="36" t="inlineStr"/>
      <c r="B22" s="39" t="inlineStr">
        <is>
          <t>• Importe adeudado (€) [col. M]: Se calcula automáticamente como Meses impagados × Renta mensual.</t>
        </is>
      </c>
    </row>
    <row r="23" ht="30" customHeight="1">
      <c r="A23" s="36" t="inlineStr"/>
      <c r="B23" s="39" t="inlineStr">
        <is>
          <t>• Total reclamado (€) [col. P]: Importe adeudado + Gastos reclamados − Fianza depositada.</t>
        </is>
      </c>
    </row>
    <row r="24" ht="30" customHeight="1">
      <c r="A24" s="36" t="inlineStr"/>
      <c r="B24" s="39" t="inlineStr">
        <is>
          <t>• Días de retraso [col. R]: Diferencia entre la fecha actual y la fecha del primer impago.</t>
        </is>
      </c>
    </row>
    <row r="25" ht="30" customHeight="1">
      <c r="A25" s="36" t="inlineStr"/>
      <c r="B25" s="39" t="inlineStr">
        <is>
          <t>• Probabilidad de cobro (%) [col. S]: Estimación según el estado del expediente.</t>
        </is>
      </c>
    </row>
    <row r="26" ht="30" customHeight="1">
      <c r="A26" s="36" t="inlineStr"/>
      <c r="B26" s="39" t="inlineStr">
        <is>
          <t>• Alerta [col. T]: Muestra 'ALERTA' automáticamente si los días de retraso superan los 30 días.</t>
        </is>
      </c>
    </row>
    <row r="27" ht="8" customHeight="1">
      <c r="A27" s="36" t="inlineStr"/>
      <c r="B27" s="36" t="inlineStr"/>
    </row>
    <row r="28" ht="22" customHeight="1">
      <c r="A28" s="37" t="inlineStr"/>
      <c r="B28" s="38" t="inlineStr">
        <is>
          <t>RECOMENDACIONES LEGALES Y DE GESTIÓN</t>
        </is>
      </c>
    </row>
    <row r="29" ht="30" customHeight="1">
      <c r="A29" s="36" t="inlineStr"/>
      <c r="B29" s="39" t="inlineStr">
        <is>
          <t>• Fianza (LAU): Conforme a la Ley de Arrendamientos Urbanos (LAU), la fianza equivale a 1 mensualidad en vivienda habitual y 2 en uso distinto. Compruebe que está depositada en el organismo autonómico correspondiente.</t>
        </is>
      </c>
    </row>
    <row r="30" ht="30" customHeight="1">
      <c r="A30" s="36" t="inlineStr"/>
      <c r="B30" s="39" t="inlineStr">
        <is>
          <t>• Burofax: Se recomienda enviar burofax con acuse de recibo y certificación del contenido como primer paso formal. Conserve el justificante.</t>
        </is>
      </c>
    </row>
    <row r="31" ht="30" customHeight="1">
      <c r="A31" s="36" t="inlineStr"/>
      <c r="B31" s="39" t="inlineStr">
        <is>
          <t>• Calendario de reclamación: Mes 1–2: Requerimiento extrajudicial. Mes 3: Burofax fehaciente. Mes 4+: Valorar acción judicial (desahucio o proceso monitorio).</t>
        </is>
      </c>
    </row>
    <row r="32" ht="30" customHeight="1">
      <c r="A32" s="36" t="inlineStr"/>
      <c r="B32" s="39" t="inlineStr">
        <is>
          <t>• Gastos reclamables: Pueden incluir gastos de comunidad, IBI (si pactado en contrato), honorarios de gestión y costas judiciales.</t>
        </is>
      </c>
    </row>
    <row r="33" ht="30" customHeight="1">
      <c r="A33" s="36" t="inlineStr"/>
      <c r="B33" s="39" t="inlineStr">
        <is>
          <t>• Prescripción: La acción para reclamar rentas prescribe a los 5 años (art. 1966 Código Civil). No deje prescribir la deuda.</t>
        </is>
      </c>
    </row>
    <row r="34" ht="8" customHeight="1">
      <c r="A34" s="36" t="inlineStr"/>
      <c r="B34" s="36" t="inlineStr"/>
    </row>
    <row r="35" ht="22" customHeight="1">
      <c r="A35" s="37" t="inlineStr"/>
      <c r="B35" s="38" t="inlineStr">
        <is>
          <t>AVISO LEGAL</t>
        </is>
      </c>
    </row>
    <row r="36" ht="30" customHeight="1">
      <c r="A36" s="36" t="inlineStr"/>
      <c r="B36" s="39" t="inlineStr">
        <is>
          <t>⚠ Este fichero es una herramienta de control interno y administrativo. No constituye asesoramiento jurídico, fiscal ni contable. Para cualquier acción legal, consulte con un abogado especializado en derecho inmobiliario o arrendamientos urbanos.</t>
        </is>
      </c>
    </row>
    <row r="37" ht="8" customHeight="1">
      <c r="A37" s="36" t="inlineStr"/>
      <c r="B37" s="36" t="inlineStr"/>
    </row>
    <row r="38" ht="22" customHeight="1">
      <c r="A38" s="37" t="inlineStr"/>
      <c r="B38" s="38" t="inlineStr">
        <is>
          <t>HOJA RESUMEN</t>
        </is>
      </c>
    </row>
    <row r="39" ht="30" customHeight="1">
      <c r="A39" s="36" t="inlineStr"/>
      <c r="B39" s="39" t="inlineStr">
        <is>
          <t>La hoja 'Resumen' muestra automáticamente los KPIs agregados, tablas por estado, ciudad y tipo de contrato, así como gráficos de deuda y distribución de expedientes. No edite directamente esta hoja.</t>
        </is>
      </c>
    </row>
    <row r="40" ht="8" customHeight="1">
      <c r="A40" s="36" t="inlineStr"/>
      <c r="B40" s="36" t="inlineStr"/>
    </row>
    <row r="41" ht="22" customHeight="1">
      <c r="A41" s="37" t="inlineStr"/>
      <c r="B41" s="38" t="inlineStr">
        <is>
          <t>ACTUALIZACIÓN</t>
        </is>
      </c>
    </row>
    <row r="42" ht="30" customHeight="1">
      <c r="A42" s="36" t="inlineStr"/>
      <c r="B42" s="39" t="inlineStr">
        <is>
          <t>Se recomienda revisar y actualizar el estado de cada expediente al menos una vez por semana, o cada vez que haya una novedad (pago parcial, comunicación del inquilino, resolución judicial, etc.).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2026-06-19T11:35:27Z</dcterms:created>
  <dcterms:modified xmlns:dcterms="http://purl.org/dc/terms/" xmlns:xsi="http://www.w3.org/2001/XMLSchema-instance" xsi:type="dcterms:W3CDTF">2026-06-19T11:35:27Z</dcterms:modified>
</cp:coreProperties>
</file>