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Datos_Comunidad" sheetId="2" state="visible" r:id="rId2"/>
    <sheet xmlns:r="http://schemas.openxmlformats.org/officeDocument/2006/relationships" name="Reparto_Cuotas" sheetId="3" state="visible" r:id="rId3"/>
    <sheet xmlns:r="http://schemas.openxmlformats.org/officeDocument/2006/relationships" name="Resume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,00%"/>
    <numFmt numFmtId="165" formatCode="#.##0,00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C8102E"/>
        <bgColor rgb="00C8102E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right"/>
    </xf>
    <xf numFmtId="0" fontId="5" fillId="4" borderId="1" pivotButton="0" quotePrefix="0" xfId="0"/>
    <xf numFmtId="164" fontId="5" fillId="4" borderId="1" pivotButton="0" quotePrefix="0" xfId="0"/>
    <xf numFmtId="165" fontId="5" fillId="4" borderId="1" pivotButton="0" quotePrefix="0" xfId="0"/>
    <xf numFmtId="0" fontId="2" fillId="0" borderId="0" pivotButton="0" quotePrefix="0" xfId="0"/>
    <xf numFmtId="165" fontId="2" fillId="3" borderId="1" pivotButton="0" quotePrefix="0" xfId="0"/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164" fontId="0" fillId="0" borderId="0" pivotButton="0" quotePrefix="0" xfId="0"/>
    <xf numFmtId="0" fontId="3" fillId="5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164" fontId="2" fillId="6" borderId="1" applyAlignment="1" pivotButton="0" quotePrefix="0" xfId="0">
      <alignment horizontal="center" vertical="center" wrapText="1"/>
    </xf>
    <xf numFmtId="1" fontId="2" fillId="6" borderId="1" applyAlignment="1" pivotButton="0" quotePrefix="0" xfId="0">
      <alignment horizontal="center" vertical="center" wrapText="1"/>
    </xf>
    <xf numFmtId="1" fontId="2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16A34A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Cuota Actual vs Cuota Teórica Mensual por Titular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'Reparto_Cuotas'!G5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'Reparto_Cuotas'!$B$6:$B$14</f>
            </numRef>
          </cat>
          <val>
            <numRef>
              <f>'Reparto_Cuotas'!$G$6:$G$14</f>
            </numRef>
          </val>
        </ser>
        <ser>
          <idx val="1"/>
          <order val="1"/>
          <tx>
            <strRef>
              <f>'Reparto_Cuotas'!H5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'Reparto_Cuotas'!$B$6:$B$14</f>
            </numRef>
          </cat>
          <val>
            <numRef>
              <f>'Reparto_Cuotas'!$H$6:$H$14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Titular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del Presupuesto por Coeficiente</a:t>
            </a:r>
          </a:p>
        </rich>
      </tx>
    </title>
    <plotArea>
      <pieChart>
        <varyColors val="1"/>
        <ser>
          <idx val="0"/>
          <order val="0"/>
          <tx>
            <strRef>
              <f>'Datos_Comunidad'!G3</f>
            </strRef>
          </tx>
          <spPr>
            <a:ln xmlns:a="http://schemas.openxmlformats.org/drawingml/2006/main">
              <a:prstDash val="solid"/>
            </a:ln>
          </spPr>
          <cat>
            <numRef>
              <f>'Datos_Comunidad'!$B$4:$B$12</f>
            </numRef>
          </cat>
          <val>
            <numRef>
              <f>'Datos_Comunidad'!$G$4:$G$12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Desviación Mensual por Titular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'Reparto_Cuotas'!I5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'Reparto_Cuotas'!$B$6:$B$14</f>
            </numRef>
          </cat>
          <val>
            <numRef>
              <f>'Reparto_Cuotas'!$I$6:$I$14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Diferencia mensual (€)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Titular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3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1" t="inlineStr">
        <is>
          <t>Reparto de Cuotas de Comunidad por Coeficiente</t>
        </is>
      </c>
    </row>
    <row r="2"/>
    <row r="3">
      <c r="A3" s="2" t="inlineStr">
        <is>
          <t>Objetivo del libro</t>
        </is>
      </c>
    </row>
    <row r="4" ht="34" customHeight="1">
      <c r="A4" s="3" t="inlineStr">
        <is>
          <t>Este libro permite calcular el reparto de la cuota de comunidad de propietarios en función del coeficiente de participación de cada vivienda, local, garaje o trastero, y compararlo con la cuota que se viene pagando actualmente.</t>
        </is>
      </c>
    </row>
    <row r="5"/>
    <row r="6">
      <c r="A6" s="2" t="inlineStr">
        <is>
          <t>Hoja Datos_Comunidad</t>
        </is>
      </c>
    </row>
    <row r="7" ht="34" customHeight="1">
      <c r="A7" s="3" t="inlineStr">
        <is>
          <t>Contiene la tabla maestra con los datos de cada elemento privativo: titular, NIF, dirección, referencia catastral, coeficiente %, cuota actual mensual, superficie y uso. Edite aquí los datos reales de su comunidad.</t>
        </is>
      </c>
    </row>
    <row r="8"/>
    <row r="9">
      <c r="A9" s="2" t="inlineStr">
        <is>
          <t>Hoja Reparto_Cuotas</t>
        </is>
      </c>
    </row>
    <row r="10" ht="34" customHeight="1">
      <c r="A10" s="3" t="inlineStr">
        <is>
          <t>Calcula automáticamente la cuota teórica anual y mensual de cada propiedad según su coeficiente y el presupuesto anual aprobado, y la compara con la cuota actual, mostrando la desviación y un estado (OK / Revisar).</t>
        </is>
      </c>
    </row>
    <row r="11"/>
    <row r="12">
      <c r="A12" s="2" t="inlineStr">
        <is>
          <t>Hoja Resumen</t>
        </is>
      </c>
    </row>
    <row r="13" ht="34" customHeight="1">
      <c r="A13" s="3" t="inlineStr">
        <is>
          <t>Muestra los KPIs principales de la comunidad y gráficos de distribución de gastos, comparación de cuotas y desviaciones por titular.</t>
        </is>
      </c>
    </row>
    <row r="14"/>
    <row r="15">
      <c r="A15" s="2" t="inlineStr">
        <is>
          <t>Celdas editables (fondo amarillo)</t>
        </is>
      </c>
    </row>
    <row r="16" ht="34" customHeight="1">
      <c r="A16" s="3" t="inlineStr">
        <is>
          <t>Son las celdas de entrada: presupuesto anual aprobado, umbral de desviación admitido y los datos de la tabla Datos_Comunidad. El resto de celdas se calculan automáticamente y no deben modificarse.</t>
        </is>
      </c>
    </row>
    <row r="17"/>
    <row r="18">
      <c r="A18" s="2" t="inlineStr">
        <is>
          <t>Aviso importante</t>
        </is>
      </c>
    </row>
    <row r="19" ht="34" customHeight="1">
      <c r="A19" s="3" t="inlineStr">
        <is>
          <t>Recuerde actualizar los coeficientes (deben sumar 100,00%), el presupuesto anual aprobado en junta y los gastos extraordinarios cada vez que cambien, para que los cálculos reflejen la realidad de la comunidad.</t>
        </is>
      </c>
    </row>
    <row r="20"/>
    <row r="21">
      <c r="A21" s="2" t="inlineStr">
        <is>
          <t>Estado de revisión</t>
        </is>
      </c>
    </row>
    <row r="22" ht="34" customHeight="1">
      <c r="A22" s="3" t="inlineStr">
        <is>
          <t>La columna Estado marca 'Revisar' cuando la diferencia mensual entre la cuota teórica y la cuota actual supera, en valor absoluto, el umbral definido en la hoja Reparto_Cuotas.</t>
        </is>
      </c>
    </row>
  </sheetData>
  <mergeCells count="15">
    <mergeCell ref="A1:F1"/>
    <mergeCell ref="A3"/>
    <mergeCell ref="A4:F4"/>
    <mergeCell ref="A6"/>
    <mergeCell ref="A7:F7"/>
    <mergeCell ref="A9"/>
    <mergeCell ref="A10:F10"/>
    <mergeCell ref="A12"/>
    <mergeCell ref="A13:F13"/>
    <mergeCell ref="A15"/>
    <mergeCell ref="A16:F16"/>
    <mergeCell ref="A18"/>
    <mergeCell ref="A19:F19"/>
    <mergeCell ref="A21"/>
    <mergeCell ref="A22:F2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3" customWidth="1" min="3" max="3"/>
    <col width="16" customWidth="1" min="4" max="4"/>
    <col width="34" customWidth="1" min="5" max="5"/>
    <col width="22" customWidth="1" min="6" max="6"/>
    <col width="13" customWidth="1" min="7" max="7"/>
    <col width="20" customWidth="1" min="8" max="8"/>
    <col width="13" customWidth="1" min="9" max="9"/>
    <col width="12" customWidth="1" min="10" max="10"/>
    <col width="22" customWidth="1" min="11" max="11"/>
  </cols>
  <sheetData>
    <row r="1" ht="28" customHeight="1">
      <c r="A1" s="1" t="inlineStr">
        <is>
          <t>Datos de la Comunidad de Propietarios</t>
        </is>
      </c>
    </row>
    <row r="2"/>
    <row r="3" ht="32" customHeight="1">
      <c r="A3" s="4" t="inlineStr">
        <is>
          <t>ID</t>
        </is>
      </c>
      <c r="B3" s="4" t="inlineStr">
        <is>
          <t>Titular</t>
        </is>
      </c>
      <c r="C3" s="4" t="inlineStr">
        <is>
          <t>NIF</t>
        </is>
      </c>
      <c r="D3" s="4" t="inlineStr">
        <is>
          <t>Vivienda/Local</t>
        </is>
      </c>
      <c r="E3" s="4" t="inlineStr">
        <is>
          <t>Dirección</t>
        </is>
      </c>
      <c r="F3" s="4" t="inlineStr">
        <is>
          <t>Referencia catastral</t>
        </is>
      </c>
      <c r="G3" s="4" t="inlineStr">
        <is>
          <t>Coeficiente %</t>
        </is>
      </c>
      <c r="H3" s="4" t="inlineStr">
        <is>
          <t>Cuota actual comunidad €/mes</t>
        </is>
      </c>
      <c r="I3" s="4" t="inlineStr">
        <is>
          <t>Superficie m²</t>
        </is>
      </c>
      <c r="J3" s="4" t="inlineStr">
        <is>
          <t>Uso</t>
        </is>
      </c>
      <c r="K3" s="4" t="inlineStr">
        <is>
          <t>Observaciones</t>
        </is>
      </c>
    </row>
    <row r="4">
      <c r="A4" s="5" t="n">
        <v>1</v>
      </c>
      <c r="B4" s="6" t="inlineStr">
        <is>
          <t>María García</t>
        </is>
      </c>
      <c r="C4" s="5" t="inlineStr">
        <is>
          <t>12345678Z</t>
        </is>
      </c>
      <c r="D4" s="5" t="inlineStr">
        <is>
          <t>Vivienda 3ºB</t>
        </is>
      </c>
      <c r="E4" s="6" t="inlineStr">
        <is>
          <t>Calle Mayor 12 3ºB, Madrid</t>
        </is>
      </c>
      <c r="F4" s="5" t="inlineStr">
        <is>
          <t>1234501VK4713S0001AB</t>
        </is>
      </c>
      <c r="G4" s="7" t="n">
        <v>0.125</v>
      </c>
      <c r="H4" s="8" t="n">
        <v>145.5</v>
      </c>
      <c r="I4" s="5" t="n">
        <v>90</v>
      </c>
      <c r="J4" s="5" t="inlineStr">
        <is>
          <t>vivienda</t>
        </is>
      </c>
      <c r="K4" s="6" t="inlineStr"/>
    </row>
    <row r="5">
      <c r="A5" s="5" t="n">
        <v>2</v>
      </c>
      <c r="B5" s="6" t="inlineStr">
        <is>
          <t>Antonio López</t>
        </is>
      </c>
      <c r="C5" s="5" t="inlineStr">
        <is>
          <t>23456789A</t>
        </is>
      </c>
      <c r="D5" s="5" t="inlineStr">
        <is>
          <t>Vivienda 2ºA</t>
        </is>
      </c>
      <c r="E5" s="6" t="inlineStr">
        <is>
          <t>Av. Diagonal 405 2ºA, Barcelona</t>
        </is>
      </c>
      <c r="F5" s="5" t="inlineStr">
        <is>
          <t>2345602VK4713S0002CD</t>
        </is>
      </c>
      <c r="G5" s="7" t="n">
        <v>0.1425</v>
      </c>
      <c r="H5" s="8" t="n">
        <v>160</v>
      </c>
      <c r="I5" s="5" t="n">
        <v>102</v>
      </c>
      <c r="J5" s="5" t="inlineStr">
        <is>
          <t>vivienda</t>
        </is>
      </c>
      <c r="K5" s="6" t="inlineStr"/>
    </row>
    <row r="6">
      <c r="A6" s="5" t="n">
        <v>3</v>
      </c>
      <c r="B6" s="6" t="inlineStr">
        <is>
          <t>Carmen Ruiz</t>
        </is>
      </c>
      <c r="C6" s="5" t="inlineStr">
        <is>
          <t>34567890B</t>
        </is>
      </c>
      <c r="D6" s="5" t="inlineStr">
        <is>
          <t>Vivienda 1ºC</t>
        </is>
      </c>
      <c r="E6" s="6" t="inlineStr">
        <is>
          <t>Calle Sierpes 8 1ºC, Sevilla</t>
        </is>
      </c>
      <c r="F6" s="5" t="inlineStr">
        <is>
          <t>3456703VK4713S0003EF</t>
        </is>
      </c>
      <c r="G6" s="7" t="n">
        <v>0.11</v>
      </c>
      <c r="H6" s="8" t="n">
        <v>120.75</v>
      </c>
      <c r="I6" s="5" t="n">
        <v>78</v>
      </c>
      <c r="J6" s="5" t="inlineStr">
        <is>
          <t>vivienda</t>
        </is>
      </c>
      <c r="K6" s="6" t="inlineStr"/>
    </row>
    <row r="7">
      <c r="A7" s="5" t="n">
        <v>4</v>
      </c>
      <c r="B7" s="6" t="inlineStr">
        <is>
          <t>José Martínez</t>
        </is>
      </c>
      <c r="C7" s="5" t="inlineStr">
        <is>
          <t>45678901C</t>
        </is>
      </c>
      <c r="D7" s="5" t="inlineStr">
        <is>
          <t>Local Bajo</t>
        </is>
      </c>
      <c r="E7" s="6" t="inlineStr">
        <is>
          <t>Calle Colón 22 Bajo, Valencia</t>
        </is>
      </c>
      <c r="F7" s="5" t="inlineStr">
        <is>
          <t>4567804VK4713S0004GH</t>
        </is>
      </c>
      <c r="G7" s="7" t="n">
        <v>0.1825</v>
      </c>
      <c r="H7" s="8" t="n">
        <v>210</v>
      </c>
      <c r="I7" s="5" t="n">
        <v>130</v>
      </c>
      <c r="J7" s="5" t="inlineStr">
        <is>
          <t>local</t>
        </is>
      </c>
      <c r="K7" s="6" t="inlineStr">
        <is>
          <t>Local comercial</t>
        </is>
      </c>
    </row>
    <row r="8">
      <c r="A8" s="5" t="n">
        <v>5</v>
      </c>
      <c r="B8" s="6" t="inlineStr">
        <is>
          <t>Laura Fernández</t>
        </is>
      </c>
      <c r="C8" s="5" t="inlineStr">
        <is>
          <t>56789012D</t>
        </is>
      </c>
      <c r="D8" s="5" t="inlineStr">
        <is>
          <t>Vivienda 4ºD</t>
        </is>
      </c>
      <c r="E8" s="6" t="inlineStr">
        <is>
          <t>C/ Alcalá 150 4ºD, Madrid</t>
        </is>
      </c>
      <c r="F8" s="5" t="inlineStr">
        <is>
          <t>5678905VK4713S0005IJ</t>
        </is>
      </c>
      <c r="G8" s="7" t="n">
        <v>0.135</v>
      </c>
      <c r="H8" s="8" t="n">
        <v>150.25</v>
      </c>
      <c r="I8" s="5" t="n">
        <v>95</v>
      </c>
      <c r="J8" s="5" t="inlineStr">
        <is>
          <t>vivienda</t>
        </is>
      </c>
      <c r="K8" s="6" t="inlineStr"/>
    </row>
    <row r="9">
      <c r="A9" s="5" t="n">
        <v>6</v>
      </c>
      <c r="B9" s="6" t="inlineStr">
        <is>
          <t>Manuel Sánchez</t>
        </is>
      </c>
      <c r="C9" s="5" t="inlineStr">
        <is>
          <t>67890123E</t>
        </is>
      </c>
      <c r="D9" s="5" t="inlineStr">
        <is>
          <t>Vivienda 5ºA</t>
        </is>
      </c>
      <c r="E9" s="6" t="inlineStr">
        <is>
          <t>Paseo de Gracia 88 5ºA, Barcelona</t>
        </is>
      </c>
      <c r="F9" s="5" t="inlineStr">
        <is>
          <t>6789006VK4713S0006KL</t>
        </is>
      </c>
      <c r="G9" s="7" t="n">
        <v>0.1275</v>
      </c>
      <c r="H9" s="8" t="n">
        <v>140</v>
      </c>
      <c r="I9" s="5" t="n">
        <v>88</v>
      </c>
      <c r="J9" s="5" t="inlineStr">
        <is>
          <t>vivienda</t>
        </is>
      </c>
      <c r="K9" s="6" t="inlineStr"/>
    </row>
    <row r="10">
      <c r="A10" s="5" t="n">
        <v>7</v>
      </c>
      <c r="B10" s="6" t="inlineStr">
        <is>
          <t>Ana Torres</t>
        </is>
      </c>
      <c r="C10" s="5" t="inlineStr">
        <is>
          <t>78901234F</t>
        </is>
      </c>
      <c r="D10" s="5" t="inlineStr">
        <is>
          <t>Vivienda 2ºB</t>
        </is>
      </c>
      <c r="E10" s="6" t="inlineStr">
        <is>
          <t>Calle Larios 19 2ºB, Málaga</t>
        </is>
      </c>
      <c r="F10" s="5" t="inlineStr">
        <is>
          <t>7890107VK4713S0007MN</t>
        </is>
      </c>
      <c r="G10" s="7" t="n">
        <v>0.1025</v>
      </c>
      <c r="H10" s="8" t="n">
        <v>118.5</v>
      </c>
      <c r="I10" s="5" t="n">
        <v>70</v>
      </c>
      <c r="J10" s="5" t="inlineStr">
        <is>
          <t>vivienda</t>
        </is>
      </c>
      <c r="K10" s="6" t="inlineStr"/>
    </row>
    <row r="11">
      <c r="A11" s="5" t="n">
        <v>8</v>
      </c>
      <c r="B11" s="6" t="inlineStr">
        <is>
          <t>Pedro Navarro</t>
        </is>
      </c>
      <c r="C11" s="5" t="inlineStr">
        <is>
          <t>89012345G</t>
        </is>
      </c>
      <c r="D11" s="5" t="inlineStr">
        <is>
          <t>Garaje 3</t>
        </is>
      </c>
      <c r="E11" s="6" t="inlineStr">
        <is>
          <t>Av. Zaragoza 31 Garaje 3, Zaragoza</t>
        </is>
      </c>
      <c r="F11" s="5" t="inlineStr">
        <is>
          <t>8901208VK4713S0008OP</t>
        </is>
      </c>
      <c r="G11" s="7" t="n">
        <v>0.045</v>
      </c>
      <c r="H11" s="8" t="n">
        <v>45</v>
      </c>
      <c r="I11" s="5" t="n">
        <v>20</v>
      </c>
      <c r="J11" s="5" t="inlineStr">
        <is>
          <t>garaje</t>
        </is>
      </c>
      <c r="K11" s="6" t="inlineStr">
        <is>
          <t>Plaza de garaje</t>
        </is>
      </c>
    </row>
    <row r="12">
      <c r="A12" s="5" t="n">
        <v>9</v>
      </c>
      <c r="B12" s="6" t="inlineStr">
        <is>
          <t>Lucía Romero</t>
        </is>
      </c>
      <c r="C12" s="5" t="inlineStr">
        <is>
          <t>90123456H</t>
        </is>
      </c>
      <c r="D12" s="5" t="inlineStr">
        <is>
          <t>Trastero 4</t>
        </is>
      </c>
      <c r="E12" s="6" t="inlineStr">
        <is>
          <t>Calle Reyes Católicos 7 Trastero 4, Granada</t>
        </is>
      </c>
      <c r="F12" s="5" t="inlineStr">
        <is>
          <t>9012309VK4713S0009QR</t>
        </is>
      </c>
      <c r="G12" s="7" t="n">
        <v>0.03</v>
      </c>
      <c r="H12" s="8" t="n">
        <v>30</v>
      </c>
      <c r="I12" s="5" t="n">
        <v>8</v>
      </c>
      <c r="J12" s="5" t="inlineStr">
        <is>
          <t>trastero</t>
        </is>
      </c>
      <c r="K12" s="6" t="inlineStr">
        <is>
          <t>Trastero</t>
        </is>
      </c>
    </row>
    <row r="13">
      <c r="A13" s="9" t="inlineStr">
        <is>
          <t>TOTAL</t>
        </is>
      </c>
      <c r="B13" s="28" t="n"/>
      <c r="C13" s="28" t="n"/>
      <c r="D13" s="28" t="n"/>
      <c r="E13" s="28" t="n"/>
      <c r="F13" s="29" t="n"/>
      <c r="G13" s="11">
        <f>SUM(G4:G12)</f>
        <v/>
      </c>
      <c r="H13" s="12">
        <f>SUM(H4:H12)</f>
        <v/>
      </c>
      <c r="I13" s="10">
        <f>SUM(I4:I12)</f>
        <v/>
      </c>
      <c r="J13" s="10" t="n"/>
      <c r="K13" s="10" t="n"/>
    </row>
  </sheetData>
  <mergeCells count="2">
    <mergeCell ref="A1:K1"/>
    <mergeCell ref="A13:F13"/>
  </mergeCells>
  <dataValidations count="1">
    <dataValidation sqref="J4:J12" showErrorMessage="1" showInputMessage="1" allowBlank="1" type="list">
      <formula1>"vivienda,local,garaje,trastero"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2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2" customWidth="1" min="3" max="3"/>
    <col width="13" customWidth="1" min="4" max="4"/>
    <col width="22" customWidth="1" min="5" max="5"/>
    <col width="16" customWidth="1" min="6" max="6"/>
    <col width="16" customWidth="1" min="7" max="7"/>
    <col width="16" customWidth="1" min="8" max="8"/>
    <col width="16" customWidth="1" min="9" max="9"/>
    <col width="15" customWidth="1" min="10" max="10"/>
    <col width="12" customWidth="1" min="11" max="11"/>
    <col width="12" customWidth="1" min="12" max="12"/>
    <col width="20" customWidth="1" min="13" max="13"/>
  </cols>
  <sheetData>
    <row r="1" ht="28" customHeight="1">
      <c r="A1" s="1" t="inlineStr">
        <is>
          <t>Reparto de Cuotas por Coeficiente</t>
        </is>
      </c>
    </row>
    <row r="2">
      <c r="A2" s="13" t="inlineStr">
        <is>
          <t>Presupuesto anual aprobado (€):</t>
        </is>
      </c>
      <c r="C2" s="14" t="n">
        <v>18000</v>
      </c>
      <c r="D2" s="13" t="inlineStr">
        <is>
          <t>Umbral desviación mensual (€):</t>
        </is>
      </c>
      <c r="F2" s="14" t="n">
        <v>15</v>
      </c>
    </row>
    <row r="3"/>
    <row r="4"/>
    <row r="5" ht="34" customHeight="1">
      <c r="A5" s="4" t="inlineStr">
        <is>
          <t>ID</t>
        </is>
      </c>
      <c r="B5" s="4" t="inlineStr">
        <is>
          <t>Titular</t>
        </is>
      </c>
      <c r="C5" s="4" t="inlineStr">
        <is>
          <t>Uso</t>
        </is>
      </c>
      <c r="D5" s="4" t="inlineStr">
        <is>
          <t>Coeficiente %</t>
        </is>
      </c>
      <c r="E5" s="4" t="inlineStr">
        <is>
          <t>Cuota comunitaria anual total €</t>
        </is>
      </c>
      <c r="F5" s="4" t="inlineStr">
        <is>
          <t>Cuota teórica anual €</t>
        </is>
      </c>
      <c r="G5" s="4" t="inlineStr">
        <is>
          <t>Cuota teórica mensual €</t>
        </is>
      </c>
      <c r="H5" s="4" t="inlineStr">
        <is>
          <t>Cuota actual mensual €</t>
        </is>
      </c>
      <c r="I5" s="4" t="inlineStr">
        <is>
          <t>Diferencia mensual €</t>
        </is>
      </c>
      <c r="J5" s="4" t="inlineStr">
        <is>
          <t>Diferencia anual €</t>
        </is>
      </c>
      <c r="K5" s="4" t="inlineStr">
        <is>
          <t>% desviación</t>
        </is>
      </c>
      <c r="L5" s="4" t="inlineStr">
        <is>
          <t>Estado</t>
        </is>
      </c>
      <c r="M5" s="4" t="inlineStr">
        <is>
          <t>Observaciones</t>
        </is>
      </c>
    </row>
    <row r="6">
      <c r="A6" s="15">
        <f>Datos_Comunidad!A4</f>
        <v/>
      </c>
      <c r="B6" s="15">
        <f>IFERROR(VLOOKUP(A6,Datos_Comunidad!$A$4:$K$12,2,FALSE),"")</f>
        <v/>
      </c>
      <c r="C6" s="15">
        <f>IFERROR(VLOOKUP(A6,Datos_Comunidad!$A$4:$K$12,10,FALSE),"")</f>
        <v/>
      </c>
      <c r="D6" s="16">
        <f>IFERROR(VLOOKUP(A6,Datos_Comunidad!$A$4:$K$12,7,FALSE),0)</f>
        <v/>
      </c>
      <c r="E6" s="17">
        <f>$C$2</f>
        <v/>
      </c>
      <c r="F6" s="17">
        <f>D6*E6</f>
        <v/>
      </c>
      <c r="G6" s="17">
        <f>F6/12</f>
        <v/>
      </c>
      <c r="H6" s="17">
        <f>IFERROR(VLOOKUP(A6,Datos_Comunidad!$A$4:$K$12,8,FALSE),0)</f>
        <v/>
      </c>
      <c r="I6" s="17">
        <f>G6-H6</f>
        <v/>
      </c>
      <c r="J6" s="17">
        <f>I6*12</f>
        <v/>
      </c>
      <c r="K6" s="16">
        <f>IF(H6=0,0,IFERROR(I6/H6,0))</f>
        <v/>
      </c>
      <c r="L6" s="15">
        <f>IF(ABS(I6)&gt;$F$2,"Revisar","OK")</f>
        <v/>
      </c>
      <c r="M6" s="15" t="inlineStr"/>
    </row>
    <row r="7">
      <c r="A7" s="18">
        <f>Datos_Comunidad!A5</f>
        <v/>
      </c>
      <c r="B7" s="18">
        <f>IFERROR(VLOOKUP(A7,Datos_Comunidad!$A$4:$K$12,2,FALSE),"")</f>
        <v/>
      </c>
      <c r="C7" s="18">
        <f>IFERROR(VLOOKUP(A7,Datos_Comunidad!$A$4:$K$12,10,FALSE),"")</f>
        <v/>
      </c>
      <c r="D7" s="19">
        <f>IFERROR(VLOOKUP(A7,Datos_Comunidad!$A$4:$K$12,7,FALSE),0)</f>
        <v/>
      </c>
      <c r="E7" s="20">
        <f>$C$2</f>
        <v/>
      </c>
      <c r="F7" s="20">
        <f>D7*E7</f>
        <v/>
      </c>
      <c r="G7" s="20">
        <f>F7/12</f>
        <v/>
      </c>
      <c r="H7" s="20">
        <f>IFERROR(VLOOKUP(A7,Datos_Comunidad!$A$4:$K$12,8,FALSE),0)</f>
        <v/>
      </c>
      <c r="I7" s="20">
        <f>G7-H7</f>
        <v/>
      </c>
      <c r="J7" s="20">
        <f>I7*12</f>
        <v/>
      </c>
      <c r="K7" s="19">
        <f>IF(H7=0,0,IFERROR(I7/H7,0))</f>
        <v/>
      </c>
      <c r="L7" s="18">
        <f>IF(ABS(I7)&gt;$F$2,"Revisar","OK")</f>
        <v/>
      </c>
      <c r="M7" s="18" t="inlineStr"/>
    </row>
    <row r="8">
      <c r="A8" s="15">
        <f>Datos_Comunidad!A6</f>
        <v/>
      </c>
      <c r="B8" s="15">
        <f>IFERROR(VLOOKUP(A8,Datos_Comunidad!$A$4:$K$12,2,FALSE),"")</f>
        <v/>
      </c>
      <c r="C8" s="15">
        <f>IFERROR(VLOOKUP(A8,Datos_Comunidad!$A$4:$K$12,10,FALSE),"")</f>
        <v/>
      </c>
      <c r="D8" s="16">
        <f>IFERROR(VLOOKUP(A8,Datos_Comunidad!$A$4:$K$12,7,FALSE),0)</f>
        <v/>
      </c>
      <c r="E8" s="17">
        <f>$C$2</f>
        <v/>
      </c>
      <c r="F8" s="17">
        <f>D8*E8</f>
        <v/>
      </c>
      <c r="G8" s="17">
        <f>F8/12</f>
        <v/>
      </c>
      <c r="H8" s="17">
        <f>IFERROR(VLOOKUP(A8,Datos_Comunidad!$A$4:$K$12,8,FALSE),0)</f>
        <v/>
      </c>
      <c r="I8" s="17">
        <f>G8-H8</f>
        <v/>
      </c>
      <c r="J8" s="17">
        <f>I8*12</f>
        <v/>
      </c>
      <c r="K8" s="16">
        <f>IF(H8=0,0,IFERROR(I8/H8,0))</f>
        <v/>
      </c>
      <c r="L8" s="15">
        <f>IF(ABS(I8)&gt;$F$2,"Revisar","OK")</f>
        <v/>
      </c>
      <c r="M8" s="15" t="inlineStr"/>
    </row>
    <row r="9">
      <c r="A9" s="18">
        <f>Datos_Comunidad!A7</f>
        <v/>
      </c>
      <c r="B9" s="18">
        <f>IFERROR(VLOOKUP(A9,Datos_Comunidad!$A$4:$K$12,2,FALSE),"")</f>
        <v/>
      </c>
      <c r="C9" s="18">
        <f>IFERROR(VLOOKUP(A9,Datos_Comunidad!$A$4:$K$12,10,FALSE),"")</f>
        <v/>
      </c>
      <c r="D9" s="19">
        <f>IFERROR(VLOOKUP(A9,Datos_Comunidad!$A$4:$K$12,7,FALSE),0)</f>
        <v/>
      </c>
      <c r="E9" s="20">
        <f>$C$2</f>
        <v/>
      </c>
      <c r="F9" s="20">
        <f>D9*E9</f>
        <v/>
      </c>
      <c r="G9" s="20">
        <f>F9/12</f>
        <v/>
      </c>
      <c r="H9" s="20">
        <f>IFERROR(VLOOKUP(A9,Datos_Comunidad!$A$4:$K$12,8,FALSE),0)</f>
        <v/>
      </c>
      <c r="I9" s="20">
        <f>G9-H9</f>
        <v/>
      </c>
      <c r="J9" s="20">
        <f>I9*12</f>
        <v/>
      </c>
      <c r="K9" s="19">
        <f>IF(H9=0,0,IFERROR(I9/H9,0))</f>
        <v/>
      </c>
      <c r="L9" s="18">
        <f>IF(ABS(I9)&gt;$F$2,"Revisar","OK")</f>
        <v/>
      </c>
      <c r="M9" s="18" t="inlineStr"/>
    </row>
    <row r="10">
      <c r="A10" s="15">
        <f>Datos_Comunidad!A8</f>
        <v/>
      </c>
      <c r="B10" s="15">
        <f>IFERROR(VLOOKUP(A10,Datos_Comunidad!$A$4:$K$12,2,FALSE),"")</f>
        <v/>
      </c>
      <c r="C10" s="15">
        <f>IFERROR(VLOOKUP(A10,Datos_Comunidad!$A$4:$K$12,10,FALSE),"")</f>
        <v/>
      </c>
      <c r="D10" s="16">
        <f>IFERROR(VLOOKUP(A10,Datos_Comunidad!$A$4:$K$12,7,FALSE),0)</f>
        <v/>
      </c>
      <c r="E10" s="17">
        <f>$C$2</f>
        <v/>
      </c>
      <c r="F10" s="17">
        <f>D10*E10</f>
        <v/>
      </c>
      <c r="G10" s="17">
        <f>F10/12</f>
        <v/>
      </c>
      <c r="H10" s="17">
        <f>IFERROR(VLOOKUP(A10,Datos_Comunidad!$A$4:$K$12,8,FALSE),0)</f>
        <v/>
      </c>
      <c r="I10" s="17">
        <f>G10-H10</f>
        <v/>
      </c>
      <c r="J10" s="17">
        <f>I10*12</f>
        <v/>
      </c>
      <c r="K10" s="16">
        <f>IF(H10=0,0,IFERROR(I10/H10,0))</f>
        <v/>
      </c>
      <c r="L10" s="15">
        <f>IF(ABS(I10)&gt;$F$2,"Revisar","OK")</f>
        <v/>
      </c>
      <c r="M10" s="15" t="inlineStr"/>
    </row>
    <row r="11">
      <c r="A11" s="18">
        <f>Datos_Comunidad!A9</f>
        <v/>
      </c>
      <c r="B11" s="18">
        <f>IFERROR(VLOOKUP(A11,Datos_Comunidad!$A$4:$K$12,2,FALSE),"")</f>
        <v/>
      </c>
      <c r="C11" s="18">
        <f>IFERROR(VLOOKUP(A11,Datos_Comunidad!$A$4:$K$12,10,FALSE),"")</f>
        <v/>
      </c>
      <c r="D11" s="19">
        <f>IFERROR(VLOOKUP(A11,Datos_Comunidad!$A$4:$K$12,7,FALSE),0)</f>
        <v/>
      </c>
      <c r="E11" s="20">
        <f>$C$2</f>
        <v/>
      </c>
      <c r="F11" s="20">
        <f>D11*E11</f>
        <v/>
      </c>
      <c r="G11" s="20">
        <f>F11/12</f>
        <v/>
      </c>
      <c r="H11" s="20">
        <f>IFERROR(VLOOKUP(A11,Datos_Comunidad!$A$4:$K$12,8,FALSE),0)</f>
        <v/>
      </c>
      <c r="I11" s="20">
        <f>G11-H11</f>
        <v/>
      </c>
      <c r="J11" s="20">
        <f>I11*12</f>
        <v/>
      </c>
      <c r="K11" s="19">
        <f>IF(H11=0,0,IFERROR(I11/H11,0))</f>
        <v/>
      </c>
      <c r="L11" s="18">
        <f>IF(ABS(I11)&gt;$F$2,"Revisar","OK")</f>
        <v/>
      </c>
      <c r="M11" s="18" t="inlineStr"/>
    </row>
    <row r="12">
      <c r="A12" s="15">
        <f>Datos_Comunidad!A10</f>
        <v/>
      </c>
      <c r="B12" s="15">
        <f>IFERROR(VLOOKUP(A12,Datos_Comunidad!$A$4:$K$12,2,FALSE),"")</f>
        <v/>
      </c>
      <c r="C12" s="15">
        <f>IFERROR(VLOOKUP(A12,Datos_Comunidad!$A$4:$K$12,10,FALSE),"")</f>
        <v/>
      </c>
      <c r="D12" s="16">
        <f>IFERROR(VLOOKUP(A12,Datos_Comunidad!$A$4:$K$12,7,FALSE),0)</f>
        <v/>
      </c>
      <c r="E12" s="17">
        <f>$C$2</f>
        <v/>
      </c>
      <c r="F12" s="17">
        <f>D12*E12</f>
        <v/>
      </c>
      <c r="G12" s="17">
        <f>F12/12</f>
        <v/>
      </c>
      <c r="H12" s="17">
        <f>IFERROR(VLOOKUP(A12,Datos_Comunidad!$A$4:$K$12,8,FALSE),0)</f>
        <v/>
      </c>
      <c r="I12" s="17">
        <f>G12-H12</f>
        <v/>
      </c>
      <c r="J12" s="17">
        <f>I12*12</f>
        <v/>
      </c>
      <c r="K12" s="16">
        <f>IF(H12=0,0,IFERROR(I12/H12,0))</f>
        <v/>
      </c>
      <c r="L12" s="15">
        <f>IF(ABS(I12)&gt;$F$2,"Revisar","OK")</f>
        <v/>
      </c>
      <c r="M12" s="15" t="inlineStr"/>
    </row>
    <row r="13">
      <c r="A13" s="18">
        <f>Datos_Comunidad!A11</f>
        <v/>
      </c>
      <c r="B13" s="18">
        <f>IFERROR(VLOOKUP(A13,Datos_Comunidad!$A$4:$K$12,2,FALSE),"")</f>
        <v/>
      </c>
      <c r="C13" s="18">
        <f>IFERROR(VLOOKUP(A13,Datos_Comunidad!$A$4:$K$12,10,FALSE),"")</f>
        <v/>
      </c>
      <c r="D13" s="19">
        <f>IFERROR(VLOOKUP(A13,Datos_Comunidad!$A$4:$K$12,7,FALSE),0)</f>
        <v/>
      </c>
      <c r="E13" s="20">
        <f>$C$2</f>
        <v/>
      </c>
      <c r="F13" s="20">
        <f>D13*E13</f>
        <v/>
      </c>
      <c r="G13" s="20">
        <f>F13/12</f>
        <v/>
      </c>
      <c r="H13" s="20">
        <f>IFERROR(VLOOKUP(A13,Datos_Comunidad!$A$4:$K$12,8,FALSE),0)</f>
        <v/>
      </c>
      <c r="I13" s="20">
        <f>G13-H13</f>
        <v/>
      </c>
      <c r="J13" s="20">
        <f>I13*12</f>
        <v/>
      </c>
      <c r="K13" s="19">
        <f>IF(H13=0,0,IFERROR(I13/H13,0))</f>
        <v/>
      </c>
      <c r="L13" s="18">
        <f>IF(ABS(I13)&gt;$F$2,"Revisar","OK")</f>
        <v/>
      </c>
      <c r="M13" s="18" t="inlineStr"/>
    </row>
    <row r="14">
      <c r="A14" s="15">
        <f>Datos_Comunidad!A12</f>
        <v/>
      </c>
      <c r="B14" s="15">
        <f>IFERROR(VLOOKUP(A14,Datos_Comunidad!$A$4:$K$12,2,FALSE),"")</f>
        <v/>
      </c>
      <c r="C14" s="15">
        <f>IFERROR(VLOOKUP(A14,Datos_Comunidad!$A$4:$K$12,10,FALSE),"")</f>
        <v/>
      </c>
      <c r="D14" s="16">
        <f>IFERROR(VLOOKUP(A14,Datos_Comunidad!$A$4:$K$12,7,FALSE),0)</f>
        <v/>
      </c>
      <c r="E14" s="17">
        <f>$C$2</f>
        <v/>
      </c>
      <c r="F14" s="17">
        <f>D14*E14</f>
        <v/>
      </c>
      <c r="G14" s="17">
        <f>F14/12</f>
        <v/>
      </c>
      <c r="H14" s="17">
        <f>IFERROR(VLOOKUP(A14,Datos_Comunidad!$A$4:$K$12,8,FALSE),0)</f>
        <v/>
      </c>
      <c r="I14" s="17">
        <f>G14-H14</f>
        <v/>
      </c>
      <c r="J14" s="17">
        <f>I14*12</f>
        <v/>
      </c>
      <c r="K14" s="16">
        <f>IF(H14=0,0,IFERROR(I14/H14,0))</f>
        <v/>
      </c>
      <c r="L14" s="15">
        <f>IF(ABS(I14)&gt;$F$2,"Revisar","OK")</f>
        <v/>
      </c>
      <c r="M14" s="15" t="inlineStr"/>
    </row>
    <row r="15">
      <c r="A15" s="10" t="inlineStr">
        <is>
          <t>TOTAL / MEDIA</t>
        </is>
      </c>
      <c r="B15" s="28" t="n"/>
      <c r="C15" s="29" t="n"/>
      <c r="D15" s="11">
        <f>SUM(D6:D14)</f>
        <v/>
      </c>
      <c r="E15" s="10" t="n"/>
      <c r="F15" s="12">
        <f>SUM(F6:F14)</f>
        <v/>
      </c>
      <c r="G15" s="12">
        <f>SUM(G6:G14)</f>
        <v/>
      </c>
      <c r="H15" s="12">
        <f>AVERAGE(H6:H14)</f>
        <v/>
      </c>
      <c r="I15" s="12">
        <f>SUM(I6:I14)</f>
        <v/>
      </c>
      <c r="J15" s="12">
        <f>SUM(J6:J14)</f>
        <v/>
      </c>
      <c r="K15" s="10" t="n"/>
      <c r="L15" s="10" t="n"/>
      <c r="M15" s="10" t="n"/>
    </row>
    <row r="16"/>
    <row r="17">
      <c r="A17" s="13" t="inlineStr">
        <is>
          <t>Nº viviendas:</t>
        </is>
      </c>
      <c r="B17">
        <f>COUNTIF(C6:C14,"vivienda")</f>
        <v/>
      </c>
    </row>
    <row r="18">
      <c r="A18" s="13" t="inlineStr">
        <is>
          <t>Nº locales:</t>
        </is>
      </c>
      <c r="B18">
        <f>COUNTIF(C6:C14,"local")</f>
        <v/>
      </c>
    </row>
    <row r="19">
      <c r="A19" s="13" t="inlineStr">
        <is>
          <t>Nº garajes:</t>
        </is>
      </c>
      <c r="B19">
        <f>COUNTIF(C6:C14,"garaje")</f>
        <v/>
      </c>
    </row>
    <row r="20">
      <c r="A20" s="13" t="inlineStr">
        <is>
          <t>Nº trasteros:</t>
        </is>
      </c>
      <c r="B20">
        <f>COUNTIF(C6:C14,"trastero")</f>
        <v/>
      </c>
    </row>
    <row r="21">
      <c r="A21" s="13" t="inlineStr">
        <is>
          <t>Nº cuotas a revisar:</t>
        </is>
      </c>
      <c r="B21">
        <f>COUNTIF(L6:L14,"Revisar")</f>
        <v/>
      </c>
    </row>
    <row r="22">
      <c r="A22" s="13" t="inlineStr">
        <is>
          <t>Media coeficiente %:</t>
        </is>
      </c>
      <c r="B22" s="21">
        <f>AVERAGE(D6:D14)</f>
        <v/>
      </c>
    </row>
  </sheetData>
  <mergeCells count="4">
    <mergeCell ref="A1:M1"/>
    <mergeCell ref="A2:B2"/>
    <mergeCell ref="D2:E2"/>
    <mergeCell ref="A15:C15"/>
  </mergeCells>
  <conditionalFormatting sqref="L6:L14">
    <cfRule type="expression" priority="1" dxfId="0" stopIfTrue="1">
      <formula>L6="Revisar"</formula>
    </cfRule>
    <cfRule type="expression" priority="2" dxfId="1" stopIfTrue="1">
      <formula>L6="OK"</formula>
    </cfRule>
  </conditionalFormatting>
  <conditionalFormatting sqref="I6:I14">
    <cfRule type="expression" priority="3" dxfId="0" stopIfTrue="1">
      <formula>I6&lt;0</formula>
    </cfRule>
    <cfRule type="expression" priority="4" dxfId="1" stopIfTrue="1">
      <formula>I6&gt;0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 ht="28" customHeight="1">
      <c r="A1" s="1" t="inlineStr">
        <is>
          <t>Resumen y KPIs de la Comunidad</t>
        </is>
      </c>
    </row>
    <row r="2"/>
    <row r="3">
      <c r="A3" s="4" t="inlineStr">
        <is>
          <t>INDICADOR</t>
        </is>
      </c>
      <c r="B3" s="4" t="inlineStr">
        <is>
          <t>VALOR</t>
        </is>
      </c>
    </row>
    <row r="4">
      <c r="A4" s="22" t="inlineStr">
        <is>
          <t>Presupuesto anual total</t>
        </is>
      </c>
      <c r="B4" s="23">
        <f>Reparto_Cuotas!C2</f>
        <v/>
      </c>
    </row>
    <row r="5">
      <c r="A5" s="24" t="inlineStr">
        <is>
          <t>Suma de coeficientes</t>
        </is>
      </c>
      <c r="B5" s="25">
        <f>SUM(Datos_Comunidad!G4:G12)</f>
        <v/>
      </c>
    </row>
    <row r="6">
      <c r="A6" s="22" t="inlineStr">
        <is>
          <t>Cuota media mensual actual</t>
        </is>
      </c>
      <c r="B6" s="23">
        <f>AVERAGE(Datos_Comunidad!H4:H12)</f>
        <v/>
      </c>
    </row>
    <row r="7">
      <c r="A7" s="24" t="inlineStr">
        <is>
          <t>Nº de viviendas</t>
        </is>
      </c>
      <c r="B7" s="26">
        <f>COUNTIF(Datos_Comunidad!J4:J12,"vivienda")</f>
        <v/>
      </c>
    </row>
    <row r="8">
      <c r="A8" s="22" t="inlineStr">
        <is>
          <t>Nº de locales</t>
        </is>
      </c>
      <c r="B8" s="27">
        <f>COUNTIF(Datos_Comunidad!J4:J12,"local")</f>
        <v/>
      </c>
    </row>
    <row r="9">
      <c r="A9" s="24" t="inlineStr">
        <is>
          <t>Nº de garajes</t>
        </is>
      </c>
      <c r="B9" s="26">
        <f>COUNTIF(Datos_Comunidad!J4:J12,"garaje")</f>
        <v/>
      </c>
    </row>
    <row r="10">
      <c r="A10" s="22" t="inlineStr">
        <is>
          <t>Nº de trasteros</t>
        </is>
      </c>
      <c r="B10" s="27">
        <f>COUNTIF(Datos_Comunidad!J4:J12,"trastero")</f>
        <v/>
      </c>
    </row>
    <row r="11">
      <c r="A11" s="24" t="inlineStr">
        <is>
          <t>Nº de cuotas con desviación &gt; umbral</t>
        </is>
      </c>
      <c r="B11" s="26">
        <f>COUNTIF(Reparto_Cuotas!L6:L14,"Revisar")</f>
        <v/>
      </c>
    </row>
    <row r="12">
      <c r="A12" s="22" t="inlineStr">
        <is>
          <t>Recaudación teórica anual total</t>
        </is>
      </c>
      <c r="B12" s="23">
        <f>SUM(Reparto_Cuotas!F6:F14)</f>
        <v/>
      </c>
    </row>
    <row r="13">
      <c r="A13" s="24" t="inlineStr">
        <is>
          <t>% de reparto correcto</t>
        </is>
      </c>
      <c r="B13" s="25">
        <f>IFERROR((COUNTIF(Reparto_Cuotas!L6:L14,"OK"))/9,0)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2026-07-14T04:25:45Z</dcterms:created>
  <dcterms:modified xmlns:dcterms="http://purl.org/dc/terms/" xmlns:xsi="http://www.w3.org/2001/XMLSchema-instance" xsi:type="dcterms:W3CDTF">2026-07-14T04:25:45Z</dcterms:modified>
</cp:coreProperties>
</file>