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arámetros" sheetId="1" state="visible" r:id="rId1"/>
    <sheet xmlns:r="http://schemas.openxmlformats.org/officeDocument/2006/relationships" name="Amortización" sheetId="2" state="visible" r:id="rId2"/>
    <sheet xmlns:r="http://schemas.openxmlformats.org/officeDocument/2006/relationships" name="Resumen" sheetId="3" state="visible" r:id="rId3"/>
    <sheet xmlns:r="http://schemas.openxmlformats.org/officeDocument/2006/relationships" name="Instruccion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#.##0,00 &quot;€&quot;"/>
    <numFmt numFmtId="165" formatCode="dd/mm/yyyy"/>
    <numFmt numFmtId="166" formatCode="0,00%"/>
    <numFmt numFmtId="167" formatCode="0,0000%"/>
  </numFmts>
  <fonts count="7">
    <font>
      <name val="Calibri"/>
      <family val="2"/>
      <color theme="1"/>
      <sz val="11"/>
      <scheme val="minor"/>
    </font>
    <font>
      <name val="Calibri"/>
      <b val="1"/>
      <color rgb="000F766E"/>
      <sz val="14"/>
    </font>
    <font>
      <name val="Calibri"/>
      <b val="1"/>
      <color rgb="00334155"/>
      <sz val="11"/>
    </font>
    <font>
      <name val="Calibri"/>
      <color rgb="001F2937"/>
      <sz val="11"/>
    </font>
    <font>
      <name val="Calibri"/>
      <b val="1"/>
      <color rgb="00FFFFFF"/>
      <sz val="11"/>
    </font>
    <font>
      <name val="Calibri"/>
      <b val="1"/>
      <color rgb="00FFFFFF"/>
      <sz val="14"/>
    </font>
    <font>
      <name val="Calibri"/>
      <i val="1"/>
      <color rgb="00DC2626"/>
      <sz val="10"/>
    </font>
  </fonts>
  <fills count="8">
    <fill>
      <patternFill/>
    </fill>
    <fill>
      <patternFill patternType="gray125"/>
    </fill>
    <fill>
      <patternFill patternType="solid">
        <fgColor rgb="00FFFBEB"/>
      </patternFill>
    </fill>
    <fill>
      <patternFill patternType="solid">
        <fgColor rgb="000F766E"/>
      </patternFill>
    </fill>
    <fill>
      <patternFill patternType="solid">
        <fgColor rgb="00F8FAFC"/>
      </patternFill>
    </fill>
    <fill>
      <patternFill patternType="solid">
        <fgColor rgb="0014B8A6"/>
      </patternFill>
    </fill>
    <fill>
      <patternFill patternType="solid">
        <fgColor rgb="001E293B"/>
      </patternFill>
    </fill>
    <fill>
      <patternFill patternType="solid">
        <fgColor rgb="00C8102E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5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1" pivotButton="0" quotePrefix="0" xfId="0"/>
    <xf numFmtId="0" fontId="3" fillId="2" borderId="1" applyAlignment="1" pivotButton="0" quotePrefix="0" xfId="0">
      <alignment horizontal="left" vertical="center"/>
    </xf>
    <xf numFmtId="164" fontId="3" fillId="2" borderId="1" applyAlignment="1" pivotButton="0" quotePrefix="0" xfId="0">
      <alignment horizontal="right" vertical="center"/>
    </xf>
    <xf numFmtId="165" fontId="3" fillId="2" borderId="1" applyAlignment="1" pivotButton="0" quotePrefix="0" xfId="0">
      <alignment horizontal="right" vertical="center"/>
    </xf>
    <xf numFmtId="1" fontId="3" fillId="2" borderId="1" applyAlignment="1" pivotButton="0" quotePrefix="0" xfId="0">
      <alignment horizontal="right" vertical="center"/>
    </xf>
    <xf numFmtId="166" fontId="3" fillId="2" borderId="1" applyAlignment="1" pivotButton="0" quotePrefix="0" xfId="0">
      <alignment horizontal="right" vertical="center"/>
    </xf>
    <xf numFmtId="167" fontId="3" fillId="2" borderId="1" applyAlignment="1" pivotButton="0" quotePrefix="0" xfId="0">
      <alignment horizontal="right" vertical="center"/>
    </xf>
    <xf numFmtId="0" fontId="4" fillId="3" borderId="1" applyAlignment="1" pivotButton="0" quotePrefix="0" xfId="0">
      <alignment horizontal="center" vertical="center"/>
    </xf>
    <xf numFmtId="0" fontId="3" fillId="4" borderId="1" pivotButton="0" quotePrefix="0" xfId="0"/>
    <xf numFmtId="164" fontId="0" fillId="2" borderId="1" applyAlignment="1" pivotButton="0" quotePrefix="0" xfId="0">
      <alignment horizontal="right" vertical="center"/>
    </xf>
    <xf numFmtId="164" fontId="0" fillId="0" borderId="1" applyAlignment="1" pivotButton="0" quotePrefix="0" xfId="0">
      <alignment horizontal="right" vertical="center"/>
    </xf>
    <xf numFmtId="165" fontId="0" fillId="0" borderId="1" applyAlignment="1" pivotButton="0" quotePrefix="0" xfId="0">
      <alignment horizontal="center" vertical="center"/>
    </xf>
    <xf numFmtId="0" fontId="3" fillId="0" borderId="1" pivotButton="0" quotePrefix="0" xfId="0"/>
    <xf numFmtId="0" fontId="4" fillId="5" borderId="1" pivotButton="0" quotePrefix="0" xfId="0"/>
    <xf numFmtId="164" fontId="2" fillId="0" borderId="1" applyAlignment="1" pivotButton="0" quotePrefix="0" xfId="0">
      <alignment horizontal="right" vertical="center"/>
    </xf>
    <xf numFmtId="0" fontId="2" fillId="0" borderId="1" applyAlignment="1" pivotButton="0" quotePrefix="0" xfId="0">
      <alignment horizontal="center" vertical="center"/>
    </xf>
    <xf numFmtId="0" fontId="4" fillId="3" borderId="1" applyAlignment="1" pivotButton="0" quotePrefix="0" xfId="0">
      <alignment horizontal="center" vertical="center" wrapText="1"/>
    </xf>
    <xf numFmtId="1" fontId="3" fillId="0" borderId="1" applyAlignment="1" pivotButton="0" quotePrefix="0" xfId="0">
      <alignment horizontal="right" vertical="center"/>
    </xf>
    <xf numFmtId="165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166" fontId="3" fillId="0" borderId="1" applyAlignment="1" pivotButton="0" quotePrefix="0" xfId="0">
      <alignment horizontal="right" vertical="center"/>
    </xf>
    <xf numFmtId="0" fontId="3" fillId="0" borderId="1" applyAlignment="1" pivotButton="0" quotePrefix="0" xfId="0">
      <alignment horizontal="left" vertical="center"/>
    </xf>
    <xf numFmtId="1" fontId="3" fillId="4" borderId="1" applyAlignment="1" pivotButton="0" quotePrefix="0" xfId="0">
      <alignment horizontal="right" vertical="center"/>
    </xf>
    <xf numFmtId="165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166" fontId="3" fillId="4" borderId="1" applyAlignment="1" pivotButton="0" quotePrefix="0" xfId="0">
      <alignment horizontal="right" vertical="center"/>
    </xf>
    <xf numFmtId="0" fontId="3" fillId="4" borderId="1" applyAlignment="1" pivotButton="0" quotePrefix="0" xfId="0">
      <alignment horizontal="left" vertical="center"/>
    </xf>
    <xf numFmtId="0" fontId="0" fillId="3" borderId="1" pivotButton="0" quotePrefix="0" xfId="0"/>
    <xf numFmtId="0" fontId="4" fillId="3" borderId="0" pivotButton="0" quotePrefix="0" xfId="0"/>
    <xf numFmtId="164" fontId="4" fillId="3" borderId="1" applyAlignment="1" pivotButton="0" quotePrefix="0" xfId="0">
      <alignment horizontal="right" vertical="center"/>
    </xf>
    <xf numFmtId="0" fontId="5" fillId="6" borderId="0" applyAlignment="1" pivotButton="0" quotePrefix="0" xfId="0">
      <alignment horizontal="left" vertical="center"/>
    </xf>
    <xf numFmtId="0" fontId="4" fillId="7" borderId="0" pivotButton="0" quotePrefix="0" xfId="0"/>
    <xf numFmtId="0" fontId="0" fillId="7" borderId="0" pivotButton="0" quotePrefix="0" xfId="0"/>
    <xf numFmtId="0" fontId="2" fillId="4" borderId="1" pivotButton="0" quotePrefix="0" xfId="0"/>
    <xf numFmtId="0" fontId="2" fillId="0" borderId="0" pivotButton="0" quotePrefix="0" xfId="0"/>
    <xf numFmtId="0" fontId="3" fillId="0" borderId="0" pivotButton="0" quotePrefix="0" xfId="0"/>
    <xf numFmtId="164" fontId="0" fillId="0" borderId="0" pivotButton="0" quotePrefix="0" xfId="0"/>
    <xf numFmtId="166" fontId="0" fillId="2" borderId="1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top" wrapText="1"/>
    </xf>
    <xf numFmtId="0" fontId="1" fillId="0" borderId="0" pivotButton="0" quotePrefix="0" xfId="0"/>
    <xf numFmtId="0" fontId="4" fillId="3" borderId="1" applyAlignment="1" pivotButton="0" quotePrefix="0" xfId="0">
      <alignment horizontal="left" vertical="top"/>
    </xf>
    <xf numFmtId="0" fontId="3" fillId="0" borderId="1" applyAlignment="1" pivotButton="0" quotePrefix="0" xfId="0">
      <alignment horizontal="left" vertical="top" wrapText="1"/>
    </xf>
    <xf numFmtId="165" fontId="3" fillId="2" borderId="1" applyAlignment="1" pivotButton="0" quotePrefix="0" xfId="0">
      <alignment horizontal="right" vertical="center"/>
    </xf>
    <xf numFmtId="166" fontId="3" fillId="2" borderId="1" applyAlignment="1" pivotButton="0" quotePrefix="0" xfId="0">
      <alignment horizontal="right" vertical="center"/>
    </xf>
    <xf numFmtId="167" fontId="3" fillId="2" borderId="1" applyAlignment="1" pivotButton="0" quotePrefix="0" xfId="0">
      <alignment horizontal="right" vertical="center"/>
    </xf>
    <xf numFmtId="165" fontId="0" fillId="0" borderId="1" applyAlignment="1" pivotButton="0" quotePrefix="0" xfId="0">
      <alignment horizontal="center" vertical="center"/>
    </xf>
    <xf numFmtId="165" fontId="3" fillId="0" borderId="1" applyAlignment="1" pivotButton="0" quotePrefix="0" xfId="0">
      <alignment horizontal="center" vertical="center"/>
    </xf>
    <xf numFmtId="166" fontId="3" fillId="0" borderId="1" applyAlignment="1" pivotButton="0" quotePrefix="0" xfId="0">
      <alignment horizontal="right" vertical="center"/>
    </xf>
    <xf numFmtId="165" fontId="3" fillId="4" borderId="1" applyAlignment="1" pivotButton="0" quotePrefix="0" xfId="0">
      <alignment horizontal="center" vertical="center"/>
    </xf>
    <xf numFmtId="166" fontId="3" fillId="4" borderId="1" applyAlignment="1" pivotButton="0" quotePrefix="0" xfId="0">
      <alignment horizontal="right" vertical="center"/>
    </xf>
    <xf numFmtId="166" fontId="0" fillId="2" borderId="1" applyAlignment="1" pivotButton="0" quotePrefix="0" xfId="0">
      <alignment horizontal="right" vertical="center"/>
    </xf>
  </cellXfs>
  <cellStyles count="1">
    <cellStyle name="Normal" xfId="0" builtinId="0" hidden="0"/>
  </cellStyles>
  <dxfs count="1">
    <dxf>
      <font>
        <b val="1"/>
        <color rgb="00DC2626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Evolución del capital pendiente</a:t>
            </a:r>
          </a:p>
        </rich>
      </tx>
    </title>
    <plotArea>
      <lineChart>
        <grouping val="standard"/>
        <ser>
          <idx val="0"/>
          <order val="0"/>
          <tx>
            <strRef>
              <f>'Amortización'!H4</f>
            </strRef>
          </tx>
          <spPr>
            <a:ln xmlns:a="http://schemas.openxmlformats.org/drawingml/2006/main" w="25000">
              <a:solidFill>
                <a:srgbClr val="0F766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'Amortización'!$B$5:$B$14</f>
            </numRef>
          </cat>
          <val>
            <numRef>
              <f>'Amortización'!$H$5:$H$14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Fecha de pago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Capital pendiente</a:t>
                </a:r>
              </a:p>
            </rich>
          </tx>
        </title>
        <numFmt formatCode="#.##0 &quot;€&quot;" sourceLinked="0"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Intereses frente a amortización de capital por cuota</a:t>
            </a:r>
          </a:p>
        </rich>
      </tx>
    </title>
    <plotArea>
      <barChart>
        <barDir val="col"/>
        <grouping val="stacked"/>
        <ser>
          <idx val="0"/>
          <order val="0"/>
          <tx>
            <strRef>
              <f>'Amortización'!F4</f>
            </strRef>
          </tx>
          <spPr>
            <a:solidFill xmlns:a="http://schemas.openxmlformats.org/drawingml/2006/main">
              <a:srgbClr val="DC2626"/>
            </a:solidFill>
            <a:ln xmlns:a="http://schemas.openxmlformats.org/drawingml/2006/main">
              <a:prstDash val="solid"/>
            </a:ln>
          </spPr>
          <cat>
            <numRef>
              <f>'Amortización'!$A$5:$A$14</f>
            </numRef>
          </cat>
          <val>
            <numRef>
              <f>'Amortización'!$F$5:$F$14</f>
            </numRef>
          </val>
        </ser>
        <ser>
          <idx val="1"/>
          <order val="1"/>
          <tx>
            <strRef>
              <f>'Amortización'!G4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'Amortización'!$A$5:$A$14</f>
            </numRef>
          </cat>
          <val>
            <numRef>
              <f>'Amortización'!$G$5:$G$14</f>
            </numRef>
          </val>
        </ser>
        <gapWidth val="150"/>
        <overlap val="10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Nº cuota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numFmt formatCode="#.##0 &quot;€&quot;" sourceLinked="0"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Composición del coste mensual medio</a:t>
            </a:r>
          </a:p>
        </rich>
      </tx>
    </title>
    <plotArea>
      <pieChart>
        <varyColors val="1"/>
        <ser>
          <idx val="0"/>
          <order val="0"/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0F766E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14B8A6"/>
              </a:solidFill>
              <a:ln xmlns:a="http://schemas.openxmlformats.org/drawingml/2006/main"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F59E0B"/>
              </a:solidFill>
              <a:ln xmlns:a="http://schemas.openxmlformats.org/drawingml/2006/main">
                <a:prstDash val="solid"/>
              </a:ln>
            </spPr>
          </dPt>
          <cat>
            <numRef>
              <f>'Resumen'!$E$5:$E$7</f>
            </numRef>
          </cat>
          <val>
            <numRef>
              <f>'Resumen'!$F$5:$F$7</f>
            </numRef>
          </val>
        </ser>
        <dLbls>
          <showPercent val="1"/>
        </dLbls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25</row>
      <rowOff>0</rowOff>
    </from>
    <ext cx="576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8</col>
      <colOff>0</colOff>
      <row>25</row>
      <rowOff>0</rowOff>
    </from>
    <ext cx="576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43</row>
      <rowOff>0</rowOff>
    </from>
    <ext cx="3600000" cy="28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selection activeCell="A1" sqref="A1"/>
    </sheetView>
  </sheetViews>
  <sheetFormatPr baseColWidth="8" defaultRowHeight="15"/>
  <cols>
    <col width="30" customWidth="1" min="1" max="1"/>
    <col width="28" customWidth="1" min="2" max="2"/>
    <col width="22" customWidth="1" min="3" max="3"/>
    <col width="22" customWidth="1" min="4" max="4"/>
    <col width="18" customWidth="1" min="5" max="5"/>
  </cols>
  <sheetData>
    <row r="1">
      <c r="A1" s="1" t="inlineStr">
        <is>
          <t>Parámetros del préstamo hipotecario con seguros</t>
        </is>
      </c>
    </row>
    <row r="2"/>
    <row r="3">
      <c r="A3" s="2" t="inlineStr">
        <is>
          <t>Titular</t>
        </is>
      </c>
      <c r="B3" s="3" t="inlineStr">
        <is>
          <t>María García López</t>
        </is>
      </c>
    </row>
    <row r="4">
      <c r="A4" s="2" t="inlineStr">
        <is>
          <t>NIF</t>
        </is>
      </c>
      <c r="B4" s="3" t="inlineStr">
        <is>
          <t>12345678Z</t>
        </is>
      </c>
    </row>
    <row r="5">
      <c r="A5" s="2" t="inlineStr">
        <is>
          <t>Inmueble</t>
        </is>
      </c>
      <c r="B5" s="3" t="inlineStr">
        <is>
          <t>Calle Alcalá 145, 2ºA, Madrid</t>
        </is>
      </c>
    </row>
    <row r="6">
      <c r="A6" s="2" t="inlineStr">
        <is>
          <t>Referencia catastral</t>
        </is>
      </c>
      <c r="B6" s="3" t="inlineStr">
        <is>
          <t>1234567VK4713S0008AB</t>
        </is>
      </c>
    </row>
    <row r="7">
      <c r="A7" s="2" t="inlineStr">
        <is>
          <t>Capital inicial</t>
        </is>
      </c>
      <c r="B7" s="4" t="n">
        <v>240000</v>
      </c>
    </row>
    <row r="8">
      <c r="A8" s="2" t="inlineStr">
        <is>
          <t>Fecha de formalización</t>
        </is>
      </c>
      <c r="B8" s="44" t="n">
        <v>46037</v>
      </c>
    </row>
    <row r="9">
      <c r="A9" s="2" t="inlineStr">
        <is>
          <t>Plazo (años)</t>
        </is>
      </c>
      <c r="B9" s="6" t="n">
        <v>25</v>
      </c>
    </row>
    <row r="10">
      <c r="A10" s="2" t="inlineStr">
        <is>
          <t>Número de cuotas</t>
        </is>
      </c>
      <c r="B10" s="6">
        <f>B9*12</f>
        <v/>
      </c>
    </row>
    <row r="11">
      <c r="A11" s="2" t="inlineStr">
        <is>
          <t>Tipo de interés nominal anual</t>
        </is>
      </c>
      <c r="B11" s="45" t="n">
        <v>0.0325</v>
      </c>
    </row>
    <row r="12">
      <c r="A12" s="2" t="inlineStr">
        <is>
          <t>Tipo mensual</t>
        </is>
      </c>
      <c r="B12" s="46">
        <f>B11/12</f>
        <v/>
      </c>
    </row>
    <row r="13">
      <c r="A13" s="2" t="inlineStr">
        <is>
          <t>Día de pago</t>
        </is>
      </c>
      <c r="B13" s="6" t="n">
        <v>5</v>
      </c>
    </row>
    <row r="14">
      <c r="A14" s="2" t="inlineStr">
        <is>
          <t>Sistema de amortización</t>
        </is>
      </c>
      <c r="B14" s="3" t="inlineStr">
        <is>
          <t>Francés</t>
        </is>
      </c>
    </row>
    <row r="15">
      <c r="A15" s="2" t="inlineStr">
        <is>
          <t>Comisión de apertura</t>
        </is>
      </c>
      <c r="B15" s="45" t="n">
        <v>0.005</v>
      </c>
    </row>
    <row r="16">
      <c r="A16" s="2" t="inlineStr">
        <is>
          <t>Seguro de hogar anual</t>
        </is>
      </c>
      <c r="B16" s="4" t="n">
        <v>360</v>
      </c>
    </row>
    <row r="17">
      <c r="A17" s="2" t="inlineStr">
        <is>
          <t>Seguro de vida anual</t>
        </is>
      </c>
      <c r="B17" s="4" t="n">
        <v>540</v>
      </c>
    </row>
    <row r="18">
      <c r="A18" s="2" t="inlineStr">
        <is>
          <t>Escenario de revisión</t>
        </is>
      </c>
      <c r="B18" s="3" t="inlineStr">
        <is>
          <t>Tipo fijo durante toda la simulación</t>
        </is>
      </c>
    </row>
    <row r="19"/>
    <row r="20"/>
    <row r="21">
      <c r="A21" s="9" t="inlineStr">
        <is>
          <t>Código</t>
        </is>
      </c>
      <c r="B21" s="9" t="inlineStr">
        <is>
          <t>Tipo de seguro</t>
        </is>
      </c>
      <c r="C21" s="9" t="inlineStr">
        <is>
          <t>Prima anual</t>
        </is>
      </c>
      <c r="D21" s="9" t="inlineStr">
        <is>
          <t>Prima mensual</t>
        </is>
      </c>
      <c r="E21" s="9" t="inlineStr">
        <is>
          <t>Fecha renovación</t>
        </is>
      </c>
    </row>
    <row r="22">
      <c r="A22" s="10" t="inlineStr">
        <is>
          <t>HOGAR2026</t>
        </is>
      </c>
      <c r="B22" s="10" t="inlineStr">
        <is>
          <t>Seguro de hogar</t>
        </is>
      </c>
      <c r="C22" s="11" t="n">
        <v>360</v>
      </c>
      <c r="D22" s="12">
        <f>C22/12</f>
        <v/>
      </c>
      <c r="E22" s="47" t="n">
        <v>46402</v>
      </c>
    </row>
    <row r="23">
      <c r="A23" s="14" t="inlineStr">
        <is>
          <t>VIDA2026</t>
        </is>
      </c>
      <c r="B23" s="14" t="inlineStr">
        <is>
          <t>Seguro de vida</t>
        </is>
      </c>
      <c r="C23" s="11" t="n">
        <v>540</v>
      </c>
      <c r="D23" s="12">
        <f>C23/12</f>
        <v/>
      </c>
      <c r="E23" s="47" t="n">
        <v>46402</v>
      </c>
    </row>
    <row r="24">
      <c r="A24" s="10" t="inlineStr">
        <is>
          <t>PROTECCION2026</t>
        </is>
      </c>
      <c r="B24" s="10" t="inlineStr">
        <is>
          <t>Protección de pagos</t>
        </is>
      </c>
      <c r="C24" s="11" t="n">
        <v>240</v>
      </c>
      <c r="D24" s="12">
        <f>C24/12</f>
        <v/>
      </c>
      <c r="E24" s="47" t="n">
        <v>46402</v>
      </c>
    </row>
    <row r="25"/>
    <row r="26"/>
    <row r="27">
      <c r="A27" s="15" t="inlineStr">
        <is>
          <t>Cuota hipotecaria estimada</t>
        </is>
      </c>
      <c r="B27" s="16">
        <f>PMT(B12,B10,-B7)</f>
        <v/>
      </c>
    </row>
    <row r="28">
      <c r="A28" s="15" t="inlineStr">
        <is>
          <t>Coste mensual total inicial</t>
        </is>
      </c>
      <c r="B28" s="16">
        <f>B27+B16/12+B17/12</f>
        <v/>
      </c>
    </row>
    <row r="29">
      <c r="A29" s="15" t="inlineStr">
        <is>
          <t>Alerta de datos</t>
        </is>
      </c>
      <c r="B29" s="17">
        <f>IF(OR(B7&lt;=0,B9&lt;=0,B11&lt;0),"Revisar parámetros","OK")</f>
        <v/>
      </c>
    </row>
  </sheetData>
  <mergeCells count="1">
    <mergeCell ref="A1:D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O15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20" customWidth="1" min="3" max="3"/>
    <col width="12" customWidth="1" min="4" max="4"/>
    <col width="15" customWidth="1" min="5" max="5"/>
    <col width="13" customWidth="1" min="6" max="6"/>
    <col width="18" customWidth="1" min="7" max="7"/>
    <col width="20" customWidth="1" min="8" max="8"/>
    <col width="13" customWidth="1" min="9" max="9"/>
    <col width="13" customWidth="1" min="10" max="10"/>
    <col width="12" customWidth="1" min="11" max="11"/>
    <col width="17" customWidth="1" min="12" max="12"/>
    <col width="13" customWidth="1" min="13" max="13"/>
    <col width="24" customWidth="1" min="14" max="14"/>
    <col width="30" customWidth="1" min="15" max="15"/>
  </cols>
  <sheetData>
    <row r="1">
      <c r="A1" s="1" t="inlineStr">
        <is>
          <t>Cuadro de amortización — cuotas de febrero a noviembre de 2026</t>
        </is>
      </c>
    </row>
    <row r="2"/>
    <row r="3"/>
    <row r="4" ht="32" customHeight="1">
      <c r="A4" s="18" t="inlineStr">
        <is>
          <t>Nº cuota</t>
        </is>
      </c>
      <c r="B4" s="18" t="inlineStr">
        <is>
          <t>Fecha de pago</t>
        </is>
      </c>
      <c r="C4" s="18" t="inlineStr">
        <is>
          <t>Capital pendiente inicial</t>
        </is>
      </c>
      <c r="D4" s="18" t="inlineStr">
        <is>
          <t>Tipo nominal anual</t>
        </is>
      </c>
      <c r="E4" s="18" t="inlineStr">
        <is>
          <t>Cuota hipotecaria</t>
        </is>
      </c>
      <c r="F4" s="18" t="inlineStr">
        <is>
          <t>Intereses</t>
        </is>
      </c>
      <c r="G4" s="18" t="inlineStr">
        <is>
          <t>Amortización de capital</t>
        </is>
      </c>
      <c r="H4" s="18" t="inlineStr">
        <is>
          <t>Capital pendiente final</t>
        </is>
      </c>
      <c r="I4" s="18" t="inlineStr">
        <is>
          <t>Seguro de hogar</t>
        </is>
      </c>
      <c r="J4" s="18" t="inlineStr">
        <is>
          <t>Seguro de vida</t>
        </is>
      </c>
      <c r="K4" s="18" t="inlineStr">
        <is>
          <t>Otros gastos</t>
        </is>
      </c>
      <c r="L4" s="18" t="inlineStr">
        <is>
          <t>Coste total mensual</t>
        </is>
      </c>
      <c r="M4" s="18" t="inlineStr">
        <is>
          <t>% cuota a intereses</t>
        </is>
      </c>
      <c r="N4" s="18" t="inlineStr">
        <is>
          <t>Estado</t>
        </is>
      </c>
      <c r="O4" s="18" t="inlineStr">
        <is>
          <t>Observaciones</t>
        </is>
      </c>
    </row>
    <row r="5">
      <c r="A5" s="19">
        <f>ROW()-4</f>
        <v/>
      </c>
      <c r="B5" s="48">
        <f>DATE(YEAR('Parámetros'!$B$8),MONTH('Parámetros'!$B$8)+1,'Parámetros'!$B$13)</f>
        <v/>
      </c>
      <c r="C5" s="21">
        <f>'Parámetros'!$B$7</f>
        <v/>
      </c>
      <c r="D5" s="49">
        <f>'Parámetros'!$B$11</f>
        <v/>
      </c>
      <c r="E5" s="21">
        <f>PMT('Parámetros'!$B$12,'Parámetros'!$B$10,-'Parámetros'!$B$7)</f>
        <v/>
      </c>
      <c r="F5" s="21">
        <f>C5*'Parámetros'!$B$12</f>
        <v/>
      </c>
      <c r="G5" s="21">
        <f>E5-F5</f>
        <v/>
      </c>
      <c r="H5" s="21">
        <f>MAX(0,C5-G5)</f>
        <v/>
      </c>
      <c r="I5" s="21">
        <f>IFERROR(VLOOKUP("HOGAR2026",'Parámetros'!$A$22:$E$24,4,FALSE),0)</f>
        <v/>
      </c>
      <c r="J5" s="21">
        <f>IFERROR(VLOOKUP("VIDA2026",'Parámetros'!$A$22:$E$24,4,FALSE),0)</f>
        <v/>
      </c>
      <c r="K5" s="21" t="n">
        <v>0</v>
      </c>
      <c r="L5" s="21">
        <f>SUM(E5,J5:K5)</f>
        <v/>
      </c>
      <c r="M5" s="49">
        <f>IF(E5=0,0,F5/E5)</f>
        <v/>
      </c>
      <c r="N5" s="23">
        <f>IF(H5&lt;=0,"Préstamo cancelado",IF(F5&gt;G5,"Mayor peso: intereses","Mayor peso: capital"))</f>
        <v/>
      </c>
      <c r="O5" s="23" t="inlineStr">
        <is>
          <t>Primera cuota del préstamo</t>
        </is>
      </c>
    </row>
    <row r="6">
      <c r="A6" s="24">
        <f>ROW()-4</f>
        <v/>
      </c>
      <c r="B6" s="50">
        <f>EDATE(B5,1)</f>
        <v/>
      </c>
      <c r="C6" s="26">
        <f>H5</f>
        <v/>
      </c>
      <c r="D6" s="51">
        <f>'Parámetros'!$B$11</f>
        <v/>
      </c>
      <c r="E6" s="26">
        <f>PMT('Parámetros'!$B$12,'Parámetros'!$B$10,-'Parámetros'!$B$7)</f>
        <v/>
      </c>
      <c r="F6" s="26">
        <f>C6*'Parámetros'!$B$12</f>
        <v/>
      </c>
      <c r="G6" s="26">
        <f>E6-F6</f>
        <v/>
      </c>
      <c r="H6" s="26">
        <f>MAX(0,C6-G6)</f>
        <v/>
      </c>
      <c r="I6" s="26">
        <f>IFERROR(VLOOKUP("HOGAR2026",'Parámetros'!$A$22:$E$24,4,FALSE),0)</f>
        <v/>
      </c>
      <c r="J6" s="26">
        <f>IFERROR(VLOOKUP("VIDA2026",'Parámetros'!$A$22:$E$24,4,FALSE),0)</f>
        <v/>
      </c>
      <c r="K6" s="26" t="n">
        <v>0</v>
      </c>
      <c r="L6" s="26">
        <f>SUM(E6,J6:K6)</f>
        <v/>
      </c>
      <c r="M6" s="51">
        <f>IF(E6=0,0,F6/E6)</f>
        <v/>
      </c>
      <c r="N6" s="28">
        <f>IF(H6&lt;=0,"Préstamo cancelado",IF(F6&gt;G6,"Mayor peso: intereses","Mayor peso: capital"))</f>
        <v/>
      </c>
      <c r="O6" s="28" t="inlineStr">
        <is>
          <t>Cuota mensual ordinaria</t>
        </is>
      </c>
    </row>
    <row r="7">
      <c r="A7" s="19">
        <f>ROW()-4</f>
        <v/>
      </c>
      <c r="B7" s="48">
        <f>EDATE(B6,1)</f>
        <v/>
      </c>
      <c r="C7" s="21">
        <f>H6</f>
        <v/>
      </c>
      <c r="D7" s="49">
        <f>'Parámetros'!$B$11</f>
        <v/>
      </c>
      <c r="E7" s="21">
        <f>PMT('Parámetros'!$B$12,'Parámetros'!$B$10,-'Parámetros'!$B$7)</f>
        <v/>
      </c>
      <c r="F7" s="21">
        <f>C7*'Parámetros'!$B$12</f>
        <v/>
      </c>
      <c r="G7" s="21">
        <f>E7-F7</f>
        <v/>
      </c>
      <c r="H7" s="21">
        <f>MAX(0,C7-G7)</f>
        <v/>
      </c>
      <c r="I7" s="21">
        <f>IFERROR(VLOOKUP("HOGAR2026",'Parámetros'!$A$22:$E$24,4,FALSE),0)</f>
        <v/>
      </c>
      <c r="J7" s="21">
        <f>IFERROR(VLOOKUP("VIDA2026",'Parámetros'!$A$22:$E$24,4,FALSE),0)</f>
        <v/>
      </c>
      <c r="K7" s="21" t="n">
        <v>0</v>
      </c>
      <c r="L7" s="21">
        <f>SUM(E7,J7:K7)</f>
        <v/>
      </c>
      <c r="M7" s="49">
        <f>IF(E7=0,0,F7/E7)</f>
        <v/>
      </c>
      <c r="N7" s="23">
        <f>IF(H7&lt;=0,"Préstamo cancelado",IF(F7&gt;G7,"Mayor peso: intereses","Mayor peso: capital"))</f>
        <v/>
      </c>
      <c r="O7" s="23" t="inlineStr">
        <is>
          <t>Cuota mensual ordinaria</t>
        </is>
      </c>
    </row>
    <row r="8">
      <c r="A8" s="24">
        <f>ROW()-4</f>
        <v/>
      </c>
      <c r="B8" s="50">
        <f>EDATE(B7,1)</f>
        <v/>
      </c>
      <c r="C8" s="26">
        <f>H7</f>
        <v/>
      </c>
      <c r="D8" s="51">
        <f>'Parámetros'!$B$11</f>
        <v/>
      </c>
      <c r="E8" s="26">
        <f>PMT('Parámetros'!$B$12,'Parámetros'!$B$10,-'Parámetros'!$B$7)</f>
        <v/>
      </c>
      <c r="F8" s="26">
        <f>C8*'Parámetros'!$B$12</f>
        <v/>
      </c>
      <c r="G8" s="26">
        <f>E8-F8</f>
        <v/>
      </c>
      <c r="H8" s="26">
        <f>MAX(0,C8-G8)</f>
        <v/>
      </c>
      <c r="I8" s="26">
        <f>IFERROR(VLOOKUP("HOGAR2026",'Parámetros'!$A$22:$E$24,4,FALSE),0)</f>
        <v/>
      </c>
      <c r="J8" s="26">
        <f>IFERROR(VLOOKUP("VIDA2026",'Parámetros'!$A$22:$E$24,4,FALSE),0)</f>
        <v/>
      </c>
      <c r="K8" s="26" t="n">
        <v>0</v>
      </c>
      <c r="L8" s="26">
        <f>SUM(E8,J8:K8)</f>
        <v/>
      </c>
      <c r="M8" s="51">
        <f>IF(E8=0,0,F8/E8)</f>
        <v/>
      </c>
      <c r="N8" s="28">
        <f>IF(H8&lt;=0,"Préstamo cancelado",IF(F8&gt;G8,"Mayor peso: intereses","Mayor peso: capital"))</f>
        <v/>
      </c>
      <c r="O8" s="28" t="inlineStr">
        <is>
          <t>Revisión anual del seguro de hogar</t>
        </is>
      </c>
    </row>
    <row r="9">
      <c r="A9" s="19">
        <f>ROW()-4</f>
        <v/>
      </c>
      <c r="B9" s="48">
        <f>EDATE(B8,1)</f>
        <v/>
      </c>
      <c r="C9" s="21">
        <f>H8</f>
        <v/>
      </c>
      <c r="D9" s="49">
        <f>'Parámetros'!$B$11</f>
        <v/>
      </c>
      <c r="E9" s="21">
        <f>PMT('Parámetros'!$B$12,'Parámetros'!$B$10,-'Parámetros'!$B$7)</f>
        <v/>
      </c>
      <c r="F9" s="21">
        <f>C9*'Parámetros'!$B$12</f>
        <v/>
      </c>
      <c r="G9" s="21">
        <f>E9-F9</f>
        <v/>
      </c>
      <c r="H9" s="21">
        <f>MAX(0,C9-G9)</f>
        <v/>
      </c>
      <c r="I9" s="21">
        <f>IFERROR(VLOOKUP("HOGAR2026",'Parámetros'!$A$22:$E$24,4,FALSE),0)</f>
        <v/>
      </c>
      <c r="J9" s="21">
        <f>IFERROR(VLOOKUP("VIDA2026",'Parámetros'!$A$22:$E$24,4,FALSE),0)</f>
        <v/>
      </c>
      <c r="K9" s="21" t="n">
        <v>0</v>
      </c>
      <c r="L9" s="21">
        <f>SUM(E9,J9:K9)</f>
        <v/>
      </c>
      <c r="M9" s="49">
        <f>IF(E9=0,0,F9/E9)</f>
        <v/>
      </c>
      <c r="N9" s="23">
        <f>IF(H9&lt;=0,"Préstamo cancelado",IF(F9&gt;G9,"Mayor peso: intereses","Mayor peso: capital"))</f>
        <v/>
      </c>
      <c r="O9" s="23" t="inlineStr">
        <is>
          <t>Cuota mensual ordinaria</t>
        </is>
      </c>
    </row>
    <row r="10">
      <c r="A10" s="24">
        <f>ROW()-4</f>
        <v/>
      </c>
      <c r="B10" s="50">
        <f>EDATE(B9,1)</f>
        <v/>
      </c>
      <c r="C10" s="26">
        <f>H9</f>
        <v/>
      </c>
      <c r="D10" s="51">
        <f>'Parámetros'!$B$11</f>
        <v/>
      </c>
      <c r="E10" s="26">
        <f>PMT('Parámetros'!$B$12,'Parámetros'!$B$10,-'Parámetros'!$B$7)</f>
        <v/>
      </c>
      <c r="F10" s="26">
        <f>C10*'Parámetros'!$B$12</f>
        <v/>
      </c>
      <c r="G10" s="26">
        <f>E10-F10</f>
        <v/>
      </c>
      <c r="H10" s="26">
        <f>MAX(0,C10-G10)</f>
        <v/>
      </c>
      <c r="I10" s="26">
        <f>IFERROR(VLOOKUP("HOGAR2026",'Parámetros'!$A$22:$E$24,4,FALSE),0)</f>
        <v/>
      </c>
      <c r="J10" s="26">
        <f>IFERROR(VLOOKUP("VIDA2026",'Parámetros'!$A$22:$E$24,4,FALSE),0)</f>
        <v/>
      </c>
      <c r="K10" s="26" t="n">
        <v>0</v>
      </c>
      <c r="L10" s="26">
        <f>SUM(E10,J10:K10)</f>
        <v/>
      </c>
      <c r="M10" s="51">
        <f>IF(E10=0,0,F10/E10)</f>
        <v/>
      </c>
      <c r="N10" s="28">
        <f>IF(H10&lt;=0,"Préstamo cancelado",IF(F10&gt;G10,"Mayor peso: intereses","Mayor peso: capital"))</f>
        <v/>
      </c>
      <c r="O10" s="28" t="inlineStr">
        <is>
          <t>Cuota mensual ordinaria</t>
        </is>
      </c>
    </row>
    <row r="11">
      <c r="A11" s="19">
        <f>ROW()-4</f>
        <v/>
      </c>
      <c r="B11" s="48">
        <f>EDATE(B10,1)</f>
        <v/>
      </c>
      <c r="C11" s="21">
        <f>H10</f>
        <v/>
      </c>
      <c r="D11" s="49">
        <f>'Parámetros'!$B$11</f>
        <v/>
      </c>
      <c r="E11" s="21">
        <f>PMT('Parámetros'!$B$12,'Parámetros'!$B$10,-'Parámetros'!$B$7)</f>
        <v/>
      </c>
      <c r="F11" s="21">
        <f>C11*'Parámetros'!$B$12</f>
        <v/>
      </c>
      <c r="G11" s="21">
        <f>E11-F11</f>
        <v/>
      </c>
      <c r="H11" s="21">
        <f>MAX(0,C11-G11)</f>
        <v/>
      </c>
      <c r="I11" s="21">
        <f>IFERROR(VLOOKUP("HOGAR2026",'Parámetros'!$A$22:$E$24,4,FALSE),0)</f>
        <v/>
      </c>
      <c r="J11" s="21">
        <f>IFERROR(VLOOKUP("VIDA2026",'Parámetros'!$A$22:$E$24,4,FALSE),0)</f>
        <v/>
      </c>
      <c r="K11" s="21" t="n">
        <v>0</v>
      </c>
      <c r="L11" s="21">
        <f>SUM(E11,J11:K11)</f>
        <v/>
      </c>
      <c r="M11" s="49">
        <f>IF(E11=0,0,F11/E11)</f>
        <v/>
      </c>
      <c r="N11" s="23">
        <f>IF(H11&lt;=0,"Préstamo cancelado",IF(F11&gt;G11,"Mayor peso: intereses","Mayor peso: capital"))</f>
        <v/>
      </c>
      <c r="O11" s="23" t="inlineStr">
        <is>
          <t>Cuota mensual ordinaria</t>
        </is>
      </c>
    </row>
    <row r="12">
      <c r="A12" s="24">
        <f>ROW()-4</f>
        <v/>
      </c>
      <c r="B12" s="50">
        <f>EDATE(B11,1)</f>
        <v/>
      </c>
      <c r="C12" s="26">
        <f>H11</f>
        <v/>
      </c>
      <c r="D12" s="51">
        <f>'Parámetros'!$B$11</f>
        <v/>
      </c>
      <c r="E12" s="26">
        <f>PMT('Parámetros'!$B$12,'Parámetros'!$B$10,-'Parámetros'!$B$7)</f>
        <v/>
      </c>
      <c r="F12" s="26">
        <f>C12*'Parámetros'!$B$12</f>
        <v/>
      </c>
      <c r="G12" s="26">
        <f>E12-F12</f>
        <v/>
      </c>
      <c r="H12" s="26">
        <f>MAX(0,C12-G12)</f>
        <v/>
      </c>
      <c r="I12" s="26">
        <f>IFERROR(VLOOKUP("HOGAR2026",'Parámetros'!$A$22:$E$24,4,FALSE),0)</f>
        <v/>
      </c>
      <c r="J12" s="26">
        <f>IFERROR(VLOOKUP("VIDA2026",'Parámetros'!$A$22:$E$24,4,FALSE),0)</f>
        <v/>
      </c>
      <c r="K12" s="26" t="n">
        <v>0</v>
      </c>
      <c r="L12" s="26">
        <f>SUM(E12,J12:K12)</f>
        <v/>
      </c>
      <c r="M12" s="51">
        <f>IF(E12=0,0,F12/E12)</f>
        <v/>
      </c>
      <c r="N12" s="28">
        <f>IF(H12&lt;=0,"Préstamo cancelado",IF(F12&gt;G12,"Mayor peso: intereses","Mayor peso: capital"))</f>
        <v/>
      </c>
      <c r="O12" s="28" t="inlineStr">
        <is>
          <t>Cuota mensual ordinaria</t>
        </is>
      </c>
    </row>
    <row r="13">
      <c r="A13" s="19">
        <f>ROW()-4</f>
        <v/>
      </c>
      <c r="B13" s="48">
        <f>EDATE(B12,1)</f>
        <v/>
      </c>
      <c r="C13" s="21">
        <f>H12</f>
        <v/>
      </c>
      <c r="D13" s="49">
        <f>'Parámetros'!$B$11</f>
        <v/>
      </c>
      <c r="E13" s="21">
        <f>PMT('Parámetros'!$B$12,'Parámetros'!$B$10,-'Parámetros'!$B$7)</f>
        <v/>
      </c>
      <c r="F13" s="21">
        <f>C13*'Parámetros'!$B$12</f>
        <v/>
      </c>
      <c r="G13" s="21">
        <f>E13-F13</f>
        <v/>
      </c>
      <c r="H13" s="21">
        <f>MAX(0,C13-G13)</f>
        <v/>
      </c>
      <c r="I13" s="21">
        <f>IFERROR(VLOOKUP("HOGAR2026",'Parámetros'!$A$22:$E$24,4,FALSE),0)</f>
        <v/>
      </c>
      <c r="J13" s="21">
        <f>IFERROR(VLOOKUP("VIDA2026",'Parámetros'!$A$22:$E$24,4,FALSE),0)</f>
        <v/>
      </c>
      <c r="K13" s="21" t="n">
        <v>0</v>
      </c>
      <c r="L13" s="21">
        <f>SUM(E13,J13:K13)</f>
        <v/>
      </c>
      <c r="M13" s="49">
        <f>IF(E13=0,0,F13/E13)</f>
        <v/>
      </c>
      <c r="N13" s="23">
        <f>IF(H13&lt;=0,"Préstamo cancelado",IF(F13&gt;G13,"Mayor peso: intereses","Mayor peso: capital"))</f>
        <v/>
      </c>
      <c r="O13" s="23" t="inlineStr">
        <is>
          <t>Cuota mensual ordinaria</t>
        </is>
      </c>
    </row>
    <row r="14">
      <c r="A14" s="24">
        <f>ROW()-4</f>
        <v/>
      </c>
      <c r="B14" s="50">
        <f>EDATE(B13,1)</f>
        <v/>
      </c>
      <c r="C14" s="26">
        <f>H13</f>
        <v/>
      </c>
      <c r="D14" s="51">
        <f>'Parámetros'!$B$11</f>
        <v/>
      </c>
      <c r="E14" s="26">
        <f>PMT('Parámetros'!$B$12,'Parámetros'!$B$10,-'Parámetros'!$B$7)</f>
        <v/>
      </c>
      <c r="F14" s="26">
        <f>C14*'Parámetros'!$B$12</f>
        <v/>
      </c>
      <c r="G14" s="26">
        <f>E14-F14</f>
        <v/>
      </c>
      <c r="H14" s="26">
        <f>MAX(0,C14-G14)</f>
        <v/>
      </c>
      <c r="I14" s="26">
        <f>IFERROR(VLOOKUP("HOGAR2026",'Parámetros'!$A$22:$E$24,4,FALSE),0)</f>
        <v/>
      </c>
      <c r="J14" s="26">
        <f>IFERROR(VLOOKUP("VIDA2026",'Parámetros'!$A$22:$E$24,4,FALSE),0)</f>
        <v/>
      </c>
      <c r="K14" s="26" t="n">
        <v>0</v>
      </c>
      <c r="L14" s="26">
        <f>SUM(E14,J14:K14)</f>
        <v/>
      </c>
      <c r="M14" s="51">
        <f>IF(E14=0,0,F14/E14)</f>
        <v/>
      </c>
      <c r="N14" s="28">
        <f>IF(H14&lt;=0,"Préstamo cancelado",IF(F14&gt;G14,"Mayor peso: intereses","Mayor peso: capital"))</f>
        <v/>
      </c>
      <c r="O14" s="28" t="inlineStr">
        <is>
          <t>Cuota mensual ordinaria</t>
        </is>
      </c>
    </row>
    <row r="15">
      <c r="A15" s="29" t="n"/>
      <c r="B15" s="30" t="inlineStr">
        <is>
          <t>Totales (10 cuotas)</t>
        </is>
      </c>
      <c r="C15" s="29" t="n"/>
      <c r="D15" s="29" t="n"/>
      <c r="E15" s="29" t="n"/>
      <c r="F15" s="31">
        <f>SUM(F5:F14)</f>
        <v/>
      </c>
      <c r="G15" s="31">
        <f>SUM(G5:G14)</f>
        <v/>
      </c>
      <c r="H15" s="29" t="n"/>
      <c r="I15" s="31">
        <f>SUM(I5:I14)</f>
        <v/>
      </c>
      <c r="J15" s="31">
        <f>SUM(J5:J14)</f>
        <v/>
      </c>
      <c r="K15" s="31">
        <f>SUM(K5:K14)</f>
        <v/>
      </c>
      <c r="L15" s="31">
        <f>SUM(L5:L14)</f>
        <v/>
      </c>
      <c r="M15" s="29" t="n"/>
      <c r="N15" s="29" t="n"/>
      <c r="O15" s="29" t="n"/>
    </row>
  </sheetData>
  <mergeCells count="1">
    <mergeCell ref="A1:O1"/>
  </mergeCells>
  <conditionalFormatting sqref="N5:N14">
    <cfRule type="expression" priority="1" dxfId="0" stopIfTrue="1">
      <formula>$N5="Mayor peso: intereses"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36" customWidth="1" min="1" max="1"/>
    <col width="20" customWidth="1" min="2" max="2"/>
    <col width="22" customWidth="1" min="3" max="3"/>
    <col width="16" customWidth="1" min="4" max="4"/>
    <col width="18" customWidth="1" min="5" max="5"/>
    <col width="18" customWidth="1" min="6" max="6"/>
  </cols>
  <sheetData>
    <row r="1" ht="24" customHeight="1">
      <c r="A1" s="32" t="inlineStr">
        <is>
          <t>Resumen del préstamo hipotecario con seguros — Panel de dirección</t>
        </is>
      </c>
    </row>
    <row r="2"/>
    <row r="3">
      <c r="A3" s="33" t="inlineStr">
        <is>
          <t>Indicadores clave</t>
        </is>
      </c>
      <c r="B3" s="34" t="n"/>
    </row>
    <row r="4">
      <c r="A4" s="35" t="inlineStr">
        <is>
          <t>Capital inicial</t>
        </is>
      </c>
      <c r="B4" s="26">
        <f>'Parámetros'!B7</f>
        <v/>
      </c>
      <c r="E4" s="36" t="inlineStr">
        <is>
          <t>Composición coste mensual</t>
        </is>
      </c>
    </row>
    <row r="5">
      <c r="A5" s="2" t="inlineStr">
        <is>
          <t>Cuota hipotecaria media</t>
        </is>
      </c>
      <c r="B5" s="21">
        <f>AVERAGE('Amortización'!E5:E14)</f>
        <v/>
      </c>
      <c r="E5" s="37" t="inlineStr">
        <is>
          <t>Cuota hipotecaria</t>
        </is>
      </c>
      <c r="F5" s="38">
        <f>B5</f>
        <v/>
      </c>
    </row>
    <row r="6">
      <c r="A6" s="35" t="inlineStr">
        <is>
          <t>Seguros mensuales medios</t>
        </is>
      </c>
      <c r="B6" s="26">
        <f>IFERROR(SUM('Amortización'!I5:J14)/COUNT('Amortización'!A5:A14),0)</f>
        <v/>
      </c>
      <c r="E6" s="37" t="inlineStr">
        <is>
          <t>Seguro de hogar</t>
        </is>
      </c>
      <c r="F6" s="38">
        <f>'Parámetros'!$B$16/12</f>
        <v/>
      </c>
    </row>
    <row r="7">
      <c r="A7" s="2" t="inlineStr">
        <is>
          <t>Coste mensual total medio</t>
        </is>
      </c>
      <c r="B7" s="21">
        <f>AVERAGE('Amortización'!L5:L14)</f>
        <v/>
      </c>
      <c r="E7" s="37" t="inlineStr">
        <is>
          <t>Seguro de vida</t>
        </is>
      </c>
      <c r="F7" s="38">
        <f>'Parámetros'!$B$17/12</f>
        <v/>
      </c>
    </row>
    <row r="8">
      <c r="A8" s="35" t="inlineStr">
        <is>
          <t>Intereses acumulados (10 cuotas)</t>
        </is>
      </c>
      <c r="B8" s="26">
        <f>SUM('Amortización'!F5:F14)</f>
        <v/>
      </c>
    </row>
    <row r="9">
      <c r="A9" s="2" t="inlineStr">
        <is>
          <t>Capital amortizado (10 cuotas)</t>
        </is>
      </c>
      <c r="B9" s="21">
        <f>SUM('Amortización'!G5:G14)</f>
        <v/>
      </c>
    </row>
    <row r="10">
      <c r="A10" s="35" t="inlineStr">
        <is>
          <t>Capital pendiente tras 10 cuotas</t>
        </is>
      </c>
      <c r="B10" s="26">
        <f>'Amortización'!H14</f>
        <v/>
      </c>
    </row>
    <row r="11">
      <c r="A11" s="2" t="inlineStr">
        <is>
          <t>Cuotas con intereses superiores al capital</t>
        </is>
      </c>
      <c r="B11" s="19">
        <f>COUNTIF('Amortización'!N5:N14,"Mayor peso: intereses")</f>
        <v/>
      </c>
    </row>
    <row r="12">
      <c r="A12" s="35" t="inlineStr">
        <is>
          <t>Porcentaje amortizado</t>
        </is>
      </c>
      <c r="B12" s="51">
        <f>IF(B4=0,0,B9/B4)</f>
        <v/>
      </c>
    </row>
    <row r="13"/>
    <row r="14"/>
    <row r="15">
      <c r="A15" s="33" t="inlineStr">
        <is>
          <t>Escenarios de tipo de interés</t>
        </is>
      </c>
      <c r="B15" s="34" t="n"/>
      <c r="C15" s="34" t="n"/>
      <c r="D15" s="34" t="n"/>
    </row>
    <row r="16">
      <c r="A16" s="9" t="inlineStr">
        <is>
          <t>Escenario</t>
        </is>
      </c>
      <c r="B16" s="9" t="inlineStr">
        <is>
          <t>Tipo anual</t>
        </is>
      </c>
      <c r="C16" s="9" t="inlineStr">
        <is>
          <t>Cuota mensual</t>
        </is>
      </c>
      <c r="D16" s="9" t="inlineStr">
        <is>
          <t>Coste total mensual (con seguros)</t>
        </is>
      </c>
    </row>
    <row r="17">
      <c r="A17" s="14" t="inlineStr">
        <is>
          <t>Tipo bajo</t>
        </is>
      </c>
      <c r="B17" s="52" t="n">
        <v>0.025</v>
      </c>
      <c r="C17" s="12">
        <f>PMT(B17/12,'Parámetros'!$B$10,-'Parámetros'!$B$7)</f>
        <v/>
      </c>
      <c r="D17" s="12">
        <f>C17+'Parámetros'!$B$16/12+'Parámetros'!$B$17/12</f>
        <v/>
      </c>
    </row>
    <row r="18">
      <c r="A18" s="14" t="inlineStr">
        <is>
          <t>Tipo actual</t>
        </is>
      </c>
      <c r="B18" s="52" t="n">
        <v>0.0325</v>
      </c>
      <c r="C18" s="12">
        <f>PMT(B18/12,'Parámetros'!$B$10,-'Parámetros'!$B$7)</f>
        <v/>
      </c>
      <c r="D18" s="12">
        <f>C18+'Parámetros'!$B$16/12+'Parámetros'!$B$17/12</f>
        <v/>
      </c>
    </row>
    <row r="19">
      <c r="A19" s="14" t="inlineStr">
        <is>
          <t>Tipo alto</t>
        </is>
      </c>
      <c r="B19" s="52" t="n">
        <v>0.04</v>
      </c>
      <c r="C19" s="12">
        <f>PMT(B19/12,'Parámetros'!$B$10,-'Parámetros'!$B$7)</f>
        <v/>
      </c>
      <c r="D19" s="12">
        <f>C19+'Parámetros'!$B$16/12+'Parámetros'!$B$17/12</f>
        <v/>
      </c>
    </row>
    <row r="20"/>
    <row r="21"/>
    <row r="22">
      <c r="A22" s="40" t="inlineStr">
        <is>
          <t>Nota: los seguros son estimaciones y pueden variar en cada renovación. Esta simulación no sustituye la oferta vinculante ni la documentación contractual de la entidad financiera (FIPRE/FiAE).</t>
        </is>
      </c>
    </row>
    <row r="23"/>
  </sheetData>
  <mergeCells count="2">
    <mergeCell ref="A1:F1"/>
    <mergeCell ref="A22:F23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cols>
    <col width="24" customWidth="1" min="1" max="1"/>
    <col width="90" customWidth="1" min="2" max="2"/>
  </cols>
  <sheetData>
    <row r="1">
      <c r="A1" s="41" t="inlineStr">
        <is>
          <t>Instrucciones de uso — Cuadro de amortización hipotecario con seguros</t>
        </is>
      </c>
    </row>
    <row r="2"/>
    <row r="3" ht="48" customHeight="1">
      <c r="A3" s="42" t="inlineStr">
        <is>
          <t>Parámetros</t>
        </is>
      </c>
      <c r="B3" s="43" t="inlineStr">
        <is>
          <t>Introduzca en las celdas amarillas los datos del préstamo: capital, plazo, tipo de interés, día de pago, comisiones y primas anuales de los seguros. La tabla auxiliar de seguros calcula automáticamente la prima mensual (prima anual / 12).</t>
        </is>
      </c>
    </row>
    <row r="4" ht="48" customHeight="1">
      <c r="A4" s="42" t="inlineStr">
        <is>
          <t>Controles</t>
        </is>
      </c>
      <c r="B4" s="43" t="inlineStr">
        <is>
          <t>La cuota estimada se calcula con el sistema francés mediante PMT. El coste mensual total suma la cuota y las primas mensuales de hogar y vida. La alerta indica «Revisar parámetros» si capital, plazo o tipo no son válidos.</t>
        </is>
      </c>
    </row>
    <row r="5" ht="48" customHeight="1">
      <c r="A5" s="42" t="inlineStr">
        <is>
          <t>Amortización</t>
        </is>
      </c>
      <c r="B5" s="43" t="inlineStr">
        <is>
          <t>Muestra 10 cuotas de muestra (febrero a noviembre de 2026). Cada fila calcula intereses (capital pendiente × tipo mensual), amortización (cuota − intereses) y capital pendiente final. Los seguros se obtienen con VLOOKUP desde la tabla auxiliar de Parámetros.</t>
        </is>
      </c>
    </row>
    <row r="6" ht="48" customHeight="1">
      <c r="A6" s="42" t="inlineStr">
        <is>
          <t>Estado</t>
        </is>
      </c>
      <c r="B6" s="43" t="inlineStr">
        <is>
          <t>La columna Estado compara intereses y capital amortizado: si los intereses superan la amortización muestra «Mayor peso: intereses» en rojo; cuando el préstamo se cancela indica «Préstamo cancelado».</t>
        </is>
      </c>
    </row>
    <row r="7" ht="48" customHeight="1">
      <c r="A7" s="42" t="inlineStr">
        <is>
          <t>Resumen</t>
        </is>
      </c>
      <c r="B7" s="43" t="inlineStr">
        <is>
          <t>Panel con los indicadores clave: cuota media, seguros medios, intereses y capital acumulados, porcentaje amortizado y tabla de escenarios (2,50 %, 3,25 % y 4,00 %). Incluye gráficos de evolución del capital, intereses vs. capital y composición del coste mensual.</t>
        </is>
      </c>
    </row>
    <row r="8" ht="48" customHeight="1">
      <c r="A8" s="42" t="inlineStr">
        <is>
          <t>Formato</t>
        </is>
      </c>
      <c r="B8" s="43" t="inlineStr">
        <is>
          <t>Importes en euros con formato español (1.234,56 €), fechas DD/MM/AAAA y porcentajes con decimales. Las celdas amarillas son editables; el resto contiene fórmulas.</t>
        </is>
      </c>
    </row>
    <row r="9" ht="48" customHeight="1">
      <c r="A9" s="42" t="inlineStr">
        <is>
          <t>Aviso</t>
        </is>
      </c>
      <c r="B9" s="43" t="inlineStr">
        <is>
          <t>Los seguros son estimaciones que pueden variar en cada renovación. Esta simulación no sustituye la oferta vinculante (FIPRE/FiAE) ni la documentación contractual de la entidad financiera.</t>
        </is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2026-08-01T13:39:45Z</dcterms:created>
  <dcterms:modified xmlns:dcterms="http://purl.org/dc/terms/" xmlns:xsi="http://www.w3.org/2001/XMLSchema-instance" xsi:type="dcterms:W3CDTF">2026-08-01T13:39:45Z</dcterms:modified>
</cp:coreProperties>
</file>