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atos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Guí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,##0.00 &quot;€&quot;"/>
    <numFmt numFmtId="166" formatCode="0.00&quot;%&quot;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  <sz val="14"/>
    </font>
    <font>
      <b val="1"/>
      <color rgb="00FFFFFF"/>
      <sz val="10"/>
    </font>
    <font>
      <b val="1"/>
      <color rgb="00FFFFFF"/>
      <sz val="12"/>
    </font>
    <font>
      <b val="1"/>
      <color rgb="000F766E"/>
      <sz val="12"/>
    </font>
    <font>
      <b val="1"/>
    </font>
    <font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left" vertical="center"/>
    </xf>
    <xf numFmtId="3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left" vertical="center"/>
    </xf>
    <xf numFmtId="166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3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3" fontId="5" fillId="5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0" fontId="6" fillId="0" borderId="0" pivotButton="0" quotePrefix="0" xfId="0"/>
    <xf numFmtId="0" fontId="0" fillId="4" borderId="1" pivotButton="0" quotePrefix="0" xfId="0"/>
    <xf numFmtId="0" fontId="6" fillId="3" borderId="1" pivotButton="0" quotePrefix="0" xfId="0"/>
    <xf numFmtId="0" fontId="0" fillId="5" borderId="1" pivotButton="0" quotePrefix="0" xfId="0"/>
    <xf numFmtId="164" fontId="0" fillId="5" borderId="1" pivotButton="0" quotePrefix="0" xfId="0"/>
    <xf numFmtId="165" fontId="0" fillId="5" borderId="1" pivotButton="0" quotePrefix="0" xfId="0"/>
    <xf numFmtId="0" fontId="7" fillId="3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left" vertical="center"/>
    </xf>
    <xf numFmtId="166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right" vertical="center"/>
    </xf>
    <xf numFmtId="165" fontId="0" fillId="5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164" fontId="0" fillId="5" borderId="1" pivotButton="0" quotePrefix="0" xfId="0"/>
    <xf numFmtId="165" fontId="0" fillId="5" borderId="1" pivotButton="0" quotePrefix="0" xfId="0"/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DC2626"/>
        </patternFill>
      </fill>
    </dxf>
    <dxf>
      <font>
        <b val="1"/>
        <color rgb="00FFFFFF"/>
      </font>
      <fill>
        <patternFill patternType="solid">
          <fgColor rgb="00F59E0B"/>
        </patternFill>
      </fill>
    </dxf>
    <dxf>
      <font>
        <b val="1"/>
        <color rgb="00FFFFFF"/>
      </font>
      <fill>
        <patternFill patternType="solid">
          <fgColor rgb="0016A34A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Renta total mensual por provincia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'Resumen'!C15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'Resumen'!$A$16:$A$22</f>
            </numRef>
          </cat>
          <val>
            <numRef>
              <f>'Resumen'!$C$16:$C$22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Provincia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Renta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estados de contratos</a:t>
            </a:r>
          </a:p>
        </rich>
      </tx>
    </title>
    <plotArea>
      <pieChart>
        <varyColors val="1"/>
        <ser>
          <idx val="0"/>
          <order val="0"/>
          <tx>
            <strRef>
              <f>'Resumen'!I38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'Resumen'!$H$39:$H$41</f>
            </numRef>
          </cat>
          <val>
            <numRef>
              <f>'Resumen'!$I$39:$I$41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renta mensual por contrato</a:t>
            </a:r>
          </a:p>
        </rich>
      </tx>
    </title>
    <plotArea>
      <lineChart>
        <grouping val="standard"/>
        <ser>
          <idx val="0"/>
          <order val="0"/>
          <tx>
            <strRef>
              <f>'Resumen'!C15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'Resumen'!$A$16:$A$22</f>
            </numRef>
          </cat>
          <val>
            <numRef>
              <f>'Resumen'!$C$16:$C$22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Contrato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Renta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36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4" customWidth="1" min="3" max="3"/>
    <col width="22" customWidth="1" min="4" max="4"/>
    <col width="14" customWidth="1" min="5" max="5"/>
    <col width="10" customWidth="1" min="6" max="6"/>
    <col width="28" customWidth="1" min="7" max="7"/>
    <col width="14" customWidth="1" min="8" max="8"/>
    <col width="12" customWidth="1" min="9" max="9"/>
    <col width="22" customWidth="1" min="10" max="10"/>
    <col width="12" customWidth="1" min="11" max="11"/>
    <col width="12" customWidth="1" min="12" max="12"/>
    <col width="14" customWidth="1" min="13" max="13"/>
    <col width="16" customWidth="1" min="14" max="14"/>
    <col width="14" customWidth="1" min="15" max="15"/>
    <col width="18" customWidth="1" min="16" max="16"/>
    <col width="20" customWidth="1" min="17" max="17"/>
    <col width="14" customWidth="1" min="18" max="18"/>
    <col width="20" customWidth="1" min="19" max="19"/>
    <col width="16" customWidth="1" min="20" max="20"/>
    <col width="16" customWidth="1" min="21" max="21"/>
    <col width="18" customWidth="1" min="22" max="22"/>
    <col width="16" customWidth="1" min="23" max="23"/>
    <col width="20" customWidth="1" min="24" max="24"/>
    <col width="20" customWidth="1" min="25" max="25"/>
    <col width="28" customWidth="1" min="26" max="26"/>
  </cols>
  <sheetData>
    <row r="1" ht="40" customHeight="1">
      <c r="A1" s="1" t="inlineStr">
        <is>
          <t>ID contrato</t>
        </is>
      </c>
      <c r="B1" s="1" t="inlineStr">
        <is>
          <t>Arrendador</t>
        </is>
      </c>
      <c r="C1" s="1" t="inlineStr">
        <is>
          <t>NIF arrendador</t>
        </is>
      </c>
      <c r="D1" s="1" t="inlineStr">
        <is>
          <t>Arrendatario</t>
        </is>
      </c>
      <c r="E1" s="1" t="inlineStr">
        <is>
          <t>NIF arrendatario</t>
        </is>
      </c>
      <c r="F1" s="1" t="inlineStr">
        <is>
          <t>Inmueble</t>
        </is>
      </c>
      <c r="G1" s="1" t="inlineStr">
        <is>
          <t>Dirección</t>
        </is>
      </c>
      <c r="H1" s="1" t="inlineStr">
        <is>
          <t>Municipio</t>
        </is>
      </c>
      <c r="I1" s="1" t="inlineStr">
        <is>
          <t>Provincia</t>
        </is>
      </c>
      <c r="J1" s="1" t="inlineStr">
        <is>
          <t>Referencia catastral</t>
        </is>
      </c>
      <c r="K1" s="1" t="inlineStr">
        <is>
          <t>Fecha inicio</t>
        </is>
      </c>
      <c r="L1" s="1" t="inlineStr">
        <is>
          <t>Fecha fin</t>
        </is>
      </c>
      <c r="M1" s="1" t="inlineStr">
        <is>
          <t>Duración (meses)</t>
        </is>
      </c>
      <c r="N1" s="1" t="inlineStr">
        <is>
          <t>Renta mensual (€)</t>
        </is>
      </c>
      <c r="O1" s="1" t="inlineStr">
        <is>
          <t>Fianza (€)</t>
        </is>
      </c>
      <c r="P1" s="1" t="inlineStr">
        <is>
          <t>Depósito adicional (€)</t>
        </is>
      </c>
      <c r="Q1" s="1" t="inlineStr">
        <is>
          <t>Gastos comunidad (€/mes)</t>
        </is>
      </c>
      <c r="R1" s="1" t="inlineStr">
        <is>
          <t>IBI anual (€)</t>
        </is>
      </c>
      <c r="S1" s="1" t="inlineStr">
        <is>
          <t>Seguro hogar anual (€)</t>
        </is>
      </c>
      <c r="T1" s="1" t="inlineStr">
        <is>
          <t>Actualización IPC (%)</t>
        </is>
      </c>
      <c r="U1" s="1" t="inlineStr">
        <is>
          <t>Revisión renta (€)</t>
        </is>
      </c>
      <c r="V1" s="1" t="inlineStr">
        <is>
          <t>Total anual renta (€)</t>
        </is>
      </c>
      <c r="W1" s="1" t="inlineStr">
        <is>
          <t>Gastos anuales (€)</t>
        </is>
      </c>
      <c r="X1" s="1" t="inlineStr">
        <is>
          <t>Ingreso neto anual (€)</t>
        </is>
      </c>
      <c r="Y1" s="1" t="inlineStr">
        <is>
          <t>Estado contrato</t>
        </is>
      </c>
      <c r="Z1" s="1" t="inlineStr">
        <is>
          <t>Observaciones</t>
        </is>
      </c>
    </row>
    <row r="2">
      <c r="A2" s="2" t="inlineStr">
        <is>
          <t>ALQ-001</t>
        </is>
      </c>
      <c r="B2" s="2" t="inlineStr">
        <is>
          <t>María García López</t>
        </is>
      </c>
      <c r="C2" s="2" t="inlineStr">
        <is>
          <t>12345678Z</t>
        </is>
      </c>
      <c r="D2" s="2" t="inlineStr">
        <is>
          <t>Antonio López Pérez</t>
        </is>
      </c>
      <c r="E2" s="2" t="inlineStr">
        <is>
          <t>87654321A</t>
        </is>
      </c>
      <c r="F2" s="2" t="inlineStr">
        <is>
          <t>Piso 3ºB</t>
        </is>
      </c>
      <c r="G2" s="2" t="inlineStr">
        <is>
          <t>Calle Mayor 12 3ºB</t>
        </is>
      </c>
      <c r="H2" s="2" t="inlineStr">
        <is>
          <t>Madrid</t>
        </is>
      </c>
      <c r="I2" s="2" t="inlineStr">
        <is>
          <t>Madrid</t>
        </is>
      </c>
      <c r="J2" s="2" t="inlineStr">
        <is>
          <t>9872301VK3192D0001FX</t>
        </is>
      </c>
      <c r="K2" s="30" t="n">
        <v>46037</v>
      </c>
      <c r="L2" s="30" t="n">
        <v>46401</v>
      </c>
      <c r="M2" s="4">
        <f>IFERROR(DATEDIF(K2,L2,"m"),0)</f>
        <v/>
      </c>
      <c r="N2" s="31" t="n">
        <v>800</v>
      </c>
      <c r="O2" s="31" t="n">
        <v>800</v>
      </c>
      <c r="P2" s="31" t="n">
        <v>0</v>
      </c>
      <c r="Q2" s="31" t="n">
        <v>45</v>
      </c>
      <c r="R2" s="31" t="n">
        <v>380</v>
      </c>
      <c r="S2" s="31" t="n">
        <v>210</v>
      </c>
      <c r="T2" s="32" t="n">
        <v>3.1</v>
      </c>
      <c r="U2" s="33">
        <f>IFERROR(N2*(1+T2/100),0)</f>
        <v/>
      </c>
      <c r="V2" s="33">
        <f>IFERROR(N2*12,0)</f>
        <v/>
      </c>
      <c r="W2" s="33">
        <f>IFERROR(Q2*12+R2+S2,0)</f>
        <v/>
      </c>
      <c r="X2" s="33">
        <f>IFERROR(N2*12-Q2*12-R2-S2,0)</f>
        <v/>
      </c>
      <c r="Y2" s="8">
        <f>IF(TODAY()&gt;L2,"Finalizado",IF(TODAY()&gt;L2-30,"Próximo vencimiento","Vigente"))</f>
        <v/>
      </c>
      <c r="Z2" s="2" t="inlineStr">
        <is>
          <t>Contrato indefinido</t>
        </is>
      </c>
    </row>
    <row r="3">
      <c r="A3" s="9" t="inlineStr">
        <is>
          <t>ALQ-002</t>
        </is>
      </c>
      <c r="B3" s="9" t="inlineStr">
        <is>
          <t>Carmen Ruiz Sánchez</t>
        </is>
      </c>
      <c r="C3" s="9" t="inlineStr">
        <is>
          <t>23456789B</t>
        </is>
      </c>
      <c r="D3" s="9" t="inlineStr">
        <is>
          <t>José Martínez García</t>
        </is>
      </c>
      <c r="E3" s="9" t="inlineStr">
        <is>
          <t>76543210B</t>
        </is>
      </c>
      <c r="F3" s="9" t="inlineStr">
        <is>
          <t>Piso 2ºA</t>
        </is>
      </c>
      <c r="G3" s="9" t="inlineStr">
        <is>
          <t>Av. Diagonal 405 2ºA</t>
        </is>
      </c>
      <c r="H3" s="9" t="inlineStr">
        <is>
          <t>Barcelona</t>
        </is>
      </c>
      <c r="I3" s="9" t="inlineStr">
        <is>
          <t>Barcelona</t>
        </is>
      </c>
      <c r="J3" s="9" t="inlineStr">
        <is>
          <t>7654321BC4928H0002GY</t>
        </is>
      </c>
      <c r="K3" s="30" t="n">
        <v>46054</v>
      </c>
      <c r="L3" s="30" t="n">
        <v>46418</v>
      </c>
      <c r="M3" s="10">
        <f>IFERROR(DATEDIF(K3,L3,"m"),0)</f>
        <v/>
      </c>
      <c r="N3" s="31" t="n">
        <v>1200</v>
      </c>
      <c r="O3" s="31" t="n">
        <v>1200</v>
      </c>
      <c r="P3" s="31" t="n">
        <v>600</v>
      </c>
      <c r="Q3" s="31" t="n">
        <v>60</v>
      </c>
      <c r="R3" s="31" t="n">
        <v>520</v>
      </c>
      <c r="S3" s="31" t="n">
        <v>290</v>
      </c>
      <c r="T3" s="32" t="n">
        <v>3.5</v>
      </c>
      <c r="U3" s="34">
        <f>IFERROR(N3*(1+T3/100),0)</f>
        <v/>
      </c>
      <c r="V3" s="34">
        <f>IFERROR(N3*12,0)</f>
        <v/>
      </c>
      <c r="W3" s="34">
        <f>IFERROR(Q3*12+R3+S3,0)</f>
        <v/>
      </c>
      <c r="X3" s="34">
        <f>IFERROR(N3*12-Q3*12-R3-S3,0)</f>
        <v/>
      </c>
      <c r="Y3" s="12">
        <f>IF(TODAY()&gt;L3,"Finalizado",IF(TODAY()&gt;L3-30,"Próximo vencimiento","Vigente"))</f>
        <v/>
      </c>
      <c r="Z3" s="9" t="inlineStr">
        <is>
          <t>Segunda mensualidad depósito</t>
        </is>
      </c>
    </row>
    <row r="4">
      <c r="A4" s="2" t="inlineStr">
        <is>
          <t>ALQ-003</t>
        </is>
      </c>
      <c r="B4" s="2" t="inlineStr">
        <is>
          <t>Laura Fernández Gil</t>
        </is>
      </c>
      <c r="C4" s="2" t="inlineStr">
        <is>
          <t>34567890C</t>
        </is>
      </c>
      <c r="D4" s="2" t="inlineStr">
        <is>
          <t>Manuel Sánchez Torres</t>
        </is>
      </c>
      <c r="E4" s="2" t="inlineStr">
        <is>
          <t>65432109C</t>
        </is>
      </c>
      <c r="F4" s="2" t="inlineStr">
        <is>
          <t>Piso 1ºC</t>
        </is>
      </c>
      <c r="G4" s="2" t="inlineStr">
        <is>
          <t>Calle Sierpes 8 1ºC</t>
        </is>
      </c>
      <c r="H4" s="2" t="inlineStr">
        <is>
          <t>Sevilla</t>
        </is>
      </c>
      <c r="I4" s="2" t="inlineStr">
        <is>
          <t>Sevilla</t>
        </is>
      </c>
      <c r="J4" s="2" t="inlineStr">
        <is>
          <t>4123456SE7823K0003HZ</t>
        </is>
      </c>
      <c r="K4" s="30" t="n">
        <v>46082</v>
      </c>
      <c r="L4" s="30" t="n">
        <v>46811</v>
      </c>
      <c r="M4" s="4">
        <f>IFERROR(DATEDIF(K4,L4,"m"),0)</f>
        <v/>
      </c>
      <c r="N4" s="31" t="n">
        <v>750</v>
      </c>
      <c r="O4" s="31" t="n">
        <v>750</v>
      </c>
      <c r="P4" s="31" t="n">
        <v>375</v>
      </c>
      <c r="Q4" s="31" t="n">
        <v>38</v>
      </c>
      <c r="R4" s="31" t="n">
        <v>290</v>
      </c>
      <c r="S4" s="31" t="n">
        <v>175</v>
      </c>
      <c r="T4" s="32" t="n">
        <v>2.8</v>
      </c>
      <c r="U4" s="33">
        <f>IFERROR(N4*(1+T4/100),0)</f>
        <v/>
      </c>
      <c r="V4" s="33">
        <f>IFERROR(N4*12,0)</f>
        <v/>
      </c>
      <c r="W4" s="33">
        <f>IFERROR(Q4*12+R4+S4,0)</f>
        <v/>
      </c>
      <c r="X4" s="33">
        <f>IFERROR(N4*12-Q4*12-R4-S4,0)</f>
        <v/>
      </c>
      <c r="Y4" s="8">
        <f>IF(TODAY()&gt;L4,"Finalizado",IF(TODAY()&gt;L4-30,"Próximo vencimiento","Vigente"))</f>
        <v/>
      </c>
      <c r="Z4" s="2" t="inlineStr">
        <is>
          <t>Vivienda habitual LAU</t>
        </is>
      </c>
    </row>
    <row r="5">
      <c r="A5" s="9" t="inlineStr">
        <is>
          <t>ALQ-004</t>
        </is>
      </c>
      <c r="B5" s="9" t="inlineStr">
        <is>
          <t>Miguel Torres Ramos</t>
        </is>
      </c>
      <c r="C5" s="9" t="inlineStr">
        <is>
          <t>45678901D</t>
        </is>
      </c>
      <c r="D5" s="9" t="inlineStr">
        <is>
          <t>Ana González Moreno</t>
        </is>
      </c>
      <c r="E5" s="9" t="inlineStr">
        <is>
          <t>54321098D</t>
        </is>
      </c>
      <c r="F5" s="9" t="inlineStr">
        <is>
          <t>Dúplex</t>
        </is>
      </c>
      <c r="G5" s="9" t="inlineStr">
        <is>
          <t>Calle Colón 22 Dúplex</t>
        </is>
      </c>
      <c r="H5" s="9" t="inlineStr">
        <is>
          <t>Valencia</t>
        </is>
      </c>
      <c r="I5" s="9" t="inlineStr">
        <is>
          <t>Valencia</t>
        </is>
      </c>
      <c r="J5" s="9" t="inlineStr">
        <is>
          <t>5234567VL8934M0004IJ</t>
        </is>
      </c>
      <c r="K5" s="30" t="n">
        <v>46032</v>
      </c>
      <c r="L5" s="30" t="n">
        <v>46396</v>
      </c>
      <c r="M5" s="10">
        <f>IFERROR(DATEDIF(K5,L5,"m"),0)</f>
        <v/>
      </c>
      <c r="N5" s="31" t="n">
        <v>950</v>
      </c>
      <c r="O5" s="31" t="n">
        <v>950</v>
      </c>
      <c r="P5" s="31" t="n">
        <v>475</v>
      </c>
      <c r="Q5" s="31" t="n">
        <v>52</v>
      </c>
      <c r="R5" s="31" t="n">
        <v>410</v>
      </c>
      <c r="S5" s="31" t="n">
        <v>230</v>
      </c>
      <c r="T5" s="32" t="n">
        <v>3.2</v>
      </c>
      <c r="U5" s="34">
        <f>IFERROR(N5*(1+T5/100),0)</f>
        <v/>
      </c>
      <c r="V5" s="34">
        <f>IFERROR(N5*12,0)</f>
        <v/>
      </c>
      <c r="W5" s="34">
        <f>IFERROR(Q5*12+R5+S5,0)</f>
        <v/>
      </c>
      <c r="X5" s="34">
        <f>IFERROR(N5*12-Q5*12-R5-S5,0)</f>
        <v/>
      </c>
      <c r="Y5" s="12">
        <f>IF(TODAY()&gt;L5,"Finalizado",IF(TODAY()&gt;L5-30,"Próximo vencimiento","Vigente"))</f>
        <v/>
      </c>
      <c r="Z5" s="9" t="inlineStr">
        <is>
          <t>Garaje incluido</t>
        </is>
      </c>
    </row>
    <row r="6">
      <c r="A6" s="2" t="inlineStr">
        <is>
          <t>ALQ-005</t>
        </is>
      </c>
      <c r="B6" s="2" t="inlineStr">
        <is>
          <t>Isabel Moreno Vega</t>
        </is>
      </c>
      <c r="C6" s="2" t="inlineStr">
        <is>
          <t>56789012E</t>
        </is>
      </c>
      <c r="D6" s="2" t="inlineStr">
        <is>
          <t>Pedro Jiménez Castro</t>
        </is>
      </c>
      <c r="E6" s="2" t="inlineStr">
        <is>
          <t>43210987E</t>
        </is>
      </c>
      <c r="F6" s="2" t="inlineStr">
        <is>
          <t>Estudio</t>
        </is>
      </c>
      <c r="G6" s="2" t="inlineStr">
        <is>
          <t>Calle Larios 5 Bajo B</t>
        </is>
      </c>
      <c r="H6" s="2" t="inlineStr">
        <is>
          <t>Málaga</t>
        </is>
      </c>
      <c r="I6" s="2" t="inlineStr">
        <is>
          <t>Málaga</t>
        </is>
      </c>
      <c r="J6" s="2" t="inlineStr">
        <is>
          <t>3345678MA5612P0005KL</t>
        </is>
      </c>
      <c r="K6" s="30" t="n">
        <v>46113</v>
      </c>
      <c r="L6" s="30" t="n">
        <v>46477</v>
      </c>
      <c r="M6" s="4">
        <f>IFERROR(DATEDIF(K6,L6,"m"),0)</f>
        <v/>
      </c>
      <c r="N6" s="31" t="n">
        <v>650</v>
      </c>
      <c r="O6" s="31" t="n">
        <v>650</v>
      </c>
      <c r="P6" s="31" t="n">
        <v>0</v>
      </c>
      <c r="Q6" s="31" t="n">
        <v>30</v>
      </c>
      <c r="R6" s="31" t="n">
        <v>260</v>
      </c>
      <c r="S6" s="31" t="n">
        <v>150</v>
      </c>
      <c r="T6" s="32" t="n">
        <v>3</v>
      </c>
      <c r="U6" s="33">
        <f>IFERROR(N6*(1+T6/100),0)</f>
        <v/>
      </c>
      <c r="V6" s="33">
        <f>IFERROR(N6*12,0)</f>
        <v/>
      </c>
      <c r="W6" s="33">
        <f>IFERROR(Q6*12+R6+S6,0)</f>
        <v/>
      </c>
      <c r="X6" s="33">
        <f>IFERROR(N6*12-Q6*12-R6-S6,0)</f>
        <v/>
      </c>
      <c r="Y6" s="8">
        <f>IF(TODAY()&gt;L6,"Finalizado",IF(TODAY()&gt;L6-30,"Próximo vencimiento","Vigente"))</f>
        <v/>
      </c>
      <c r="Z6" s="2" t="inlineStr">
        <is>
          <t>Sin depósito adicional</t>
        </is>
      </c>
    </row>
    <row r="7">
      <c r="A7" s="9" t="inlineStr">
        <is>
          <t>ALQ-006</t>
        </is>
      </c>
      <c r="B7" s="9" t="inlineStr">
        <is>
          <t>Francisco Pérez Mora</t>
        </is>
      </c>
      <c r="C7" s="9" t="inlineStr">
        <is>
          <t>67890123F</t>
        </is>
      </c>
      <c r="D7" s="9" t="inlineStr">
        <is>
          <t>Lucía Ramírez Flores</t>
        </is>
      </c>
      <c r="E7" s="9" t="inlineStr">
        <is>
          <t>32109876F</t>
        </is>
      </c>
      <c r="F7" s="9" t="inlineStr">
        <is>
          <t>Piso 4ºD</t>
        </is>
      </c>
      <c r="G7" s="9" t="inlineStr">
        <is>
          <t>Calle Fuencarral 88 4ºD</t>
        </is>
      </c>
      <c r="H7" s="9" t="inlineStr">
        <is>
          <t>Madrid</t>
        </is>
      </c>
      <c r="I7" s="9" t="inlineStr">
        <is>
          <t>Madrid</t>
        </is>
      </c>
      <c r="J7" s="9" t="inlineStr">
        <is>
          <t>9876543VK4021C0006LM</t>
        </is>
      </c>
      <c r="K7" s="30" t="n">
        <v>46143</v>
      </c>
      <c r="L7" s="30" t="n">
        <v>46507</v>
      </c>
      <c r="M7" s="10">
        <f>IFERROR(DATEDIF(K7,L7,"m"),0)</f>
        <v/>
      </c>
      <c r="N7" s="31" t="n">
        <v>1100</v>
      </c>
      <c r="O7" s="31" t="n">
        <v>1100</v>
      </c>
      <c r="P7" s="31" t="n">
        <v>550</v>
      </c>
      <c r="Q7" s="31" t="n">
        <v>58</v>
      </c>
      <c r="R7" s="31" t="n">
        <v>470</v>
      </c>
      <c r="S7" s="31" t="n">
        <v>260</v>
      </c>
      <c r="T7" s="32" t="n">
        <v>3.3</v>
      </c>
      <c r="U7" s="34">
        <f>IFERROR(N7*(1+T7/100),0)</f>
        <v/>
      </c>
      <c r="V7" s="34">
        <f>IFERROR(N7*12,0)</f>
        <v/>
      </c>
      <c r="W7" s="34">
        <f>IFERROR(Q7*12+R7+S7,0)</f>
        <v/>
      </c>
      <c r="X7" s="34">
        <f>IFERROR(N7*12-Q7*12-R7-S7,0)</f>
        <v/>
      </c>
      <c r="Y7" s="12">
        <f>IF(TODAY()&gt;L7,"Finalizado",IF(TODAY()&gt;L7-30,"Próximo vencimiento","Vigente"))</f>
        <v/>
      </c>
      <c r="Z7" s="9" t="inlineStr">
        <is>
          <t>Ascensor y trastero</t>
        </is>
      </c>
    </row>
    <row r="8">
      <c r="A8" s="2" t="inlineStr">
        <is>
          <t>ALQ-007</t>
        </is>
      </c>
      <c r="B8" s="2" t="inlineStr">
        <is>
          <t>Rosa Navarro Blanco</t>
        </is>
      </c>
      <c r="C8" s="2" t="inlineStr">
        <is>
          <t>78901234G</t>
        </is>
      </c>
      <c r="D8" s="2" t="inlineStr">
        <is>
          <t>Carlos Herrera Vidal</t>
        </is>
      </c>
      <c r="E8" s="2" t="inlineStr">
        <is>
          <t>21098765G</t>
        </is>
      </c>
      <c r="F8" s="2" t="inlineStr">
        <is>
          <t>Ático</t>
        </is>
      </c>
      <c r="G8" s="2" t="inlineStr">
        <is>
          <t>Paseo de Gracia 72 Ático</t>
        </is>
      </c>
      <c r="H8" s="2" t="inlineStr">
        <is>
          <t>Barcelona</t>
        </is>
      </c>
      <c r="I8" s="2" t="inlineStr">
        <is>
          <t>Barcelona</t>
        </is>
      </c>
      <c r="J8" s="2" t="inlineStr">
        <is>
          <t>7891234BC6132F0007MN</t>
        </is>
      </c>
      <c r="K8" s="30" t="n">
        <v>46174</v>
      </c>
      <c r="L8" s="30" t="n">
        <v>46538</v>
      </c>
      <c r="M8" s="4">
        <f>IFERROR(DATEDIF(K8,L8,"m"),0)</f>
        <v/>
      </c>
      <c r="N8" s="31" t="n">
        <v>1600</v>
      </c>
      <c r="O8" s="31" t="n">
        <v>1600</v>
      </c>
      <c r="P8" s="31" t="n">
        <v>800</v>
      </c>
      <c r="Q8" s="31" t="n">
        <v>75</v>
      </c>
      <c r="R8" s="31" t="n">
        <v>680</v>
      </c>
      <c r="S8" s="31" t="n">
        <v>350</v>
      </c>
      <c r="T8" s="32" t="n">
        <v>3.8</v>
      </c>
      <c r="U8" s="33">
        <f>IFERROR(N8*(1+T8/100),0)</f>
        <v/>
      </c>
      <c r="V8" s="33">
        <f>IFERROR(N8*12,0)</f>
        <v/>
      </c>
      <c r="W8" s="33">
        <f>IFERROR(Q8*12+R8+S8,0)</f>
        <v/>
      </c>
      <c r="X8" s="33">
        <f>IFERROR(N8*12-Q8*12-R8-S8,0)</f>
        <v/>
      </c>
      <c r="Y8" s="8">
        <f>IF(TODAY()&gt;L8,"Finalizado",IF(TODAY()&gt;L8-30,"Próximo vencimiento","Vigente"))</f>
        <v/>
      </c>
      <c r="Z8" s="2" t="inlineStr">
        <is>
          <t>Terraza privada</t>
        </is>
      </c>
    </row>
    <row r="9">
      <c r="A9" s="9" t="inlineStr">
        <is>
          <t>ALQ-008</t>
        </is>
      </c>
      <c r="B9" s="9" t="inlineStr">
        <is>
          <t>Javier Ortega Cano</t>
        </is>
      </c>
      <c r="C9" s="9" t="inlineStr">
        <is>
          <t>89012345H</t>
        </is>
      </c>
      <c r="D9" s="9" t="inlineStr">
        <is>
          <t>Marta Iglesias Roca</t>
        </is>
      </c>
      <c r="E9" s="9" t="inlineStr">
        <is>
          <t>10987654H</t>
        </is>
      </c>
      <c r="F9" s="9" t="inlineStr">
        <is>
          <t>Piso 2ºB</t>
        </is>
      </c>
      <c r="G9" s="9" t="inlineStr">
        <is>
          <t>Calle Tetúan 14 2ºB</t>
        </is>
      </c>
      <c r="H9" s="9" t="inlineStr">
        <is>
          <t>Zaragoza</t>
        </is>
      </c>
      <c r="I9" s="9" t="inlineStr">
        <is>
          <t>Zaragoza</t>
        </is>
      </c>
      <c r="J9" s="9" t="inlineStr">
        <is>
          <t>5012345ZA3411D0008NO</t>
        </is>
      </c>
      <c r="K9" s="30" t="n">
        <v>45992</v>
      </c>
      <c r="L9" s="30" t="n">
        <v>46203</v>
      </c>
      <c r="M9" s="10">
        <f>IFERROR(DATEDIF(K9,L9,"m"),0)</f>
        <v/>
      </c>
      <c r="N9" s="31" t="n">
        <v>700</v>
      </c>
      <c r="O9" s="31" t="n">
        <v>700</v>
      </c>
      <c r="P9" s="31" t="n">
        <v>0</v>
      </c>
      <c r="Q9" s="31" t="n">
        <v>35</v>
      </c>
      <c r="R9" s="31" t="n">
        <v>310</v>
      </c>
      <c r="S9" s="31" t="n">
        <v>180</v>
      </c>
      <c r="T9" s="32" t="n">
        <v>2.5</v>
      </c>
      <c r="U9" s="34">
        <f>IFERROR(N9*(1+T9/100),0)</f>
        <v/>
      </c>
      <c r="V9" s="34">
        <f>IFERROR(N9*12,0)</f>
        <v/>
      </c>
      <c r="W9" s="34">
        <f>IFERROR(Q9*12+R9+S9,0)</f>
        <v/>
      </c>
      <c r="X9" s="34">
        <f>IFERROR(N9*12-Q9*12-R9-S9,0)</f>
        <v/>
      </c>
      <c r="Y9" s="12">
        <f>IF(TODAY()&gt;L9,"Finalizado",IF(TODAY()&gt;L9-30,"Próximo vencimiento","Vigente"))</f>
        <v/>
      </c>
      <c r="Z9" s="9" t="inlineStr">
        <is>
          <t>Vence pronto — prorroga pendiente</t>
        </is>
      </c>
    </row>
    <row r="10">
      <c r="A10" s="2" t="inlineStr">
        <is>
          <t>ALQ-009</t>
        </is>
      </c>
      <c r="B10" s="2" t="inlineStr">
        <is>
          <t>Pilar Castillo Reyes</t>
        </is>
      </c>
      <c r="C10" s="2" t="inlineStr">
        <is>
          <t>90123456I</t>
        </is>
      </c>
      <c r="D10" s="2" t="inlineStr">
        <is>
          <t>Sergio Domínguez Cruz</t>
        </is>
      </c>
      <c r="E10" s="2" t="inlineStr">
        <is>
          <t>09876543I</t>
        </is>
      </c>
      <c r="F10" s="2" t="inlineStr">
        <is>
          <t>Piso 3ºA</t>
        </is>
      </c>
      <c r="G10" s="2" t="inlineStr">
        <is>
          <t>Av. Libertad 33 3ºA</t>
        </is>
      </c>
      <c r="H10" s="2" t="inlineStr">
        <is>
          <t>Bilbao</t>
        </is>
      </c>
      <c r="I10" s="2" t="inlineStr">
        <is>
          <t>Vizcaya</t>
        </is>
      </c>
      <c r="J10" s="2" t="inlineStr">
        <is>
          <t>4812345BI2234A0009PQ</t>
        </is>
      </c>
      <c r="K10" s="30" t="n">
        <v>45962</v>
      </c>
      <c r="L10" s="30" t="n">
        <v>46218</v>
      </c>
      <c r="M10" s="4">
        <f>IFERROR(DATEDIF(K10,L10,"m"),0)</f>
        <v/>
      </c>
      <c r="N10" s="31" t="n">
        <v>880</v>
      </c>
      <c r="O10" s="31" t="n">
        <v>880</v>
      </c>
      <c r="P10" s="31" t="n">
        <v>440</v>
      </c>
      <c r="Q10" s="31" t="n">
        <v>42</v>
      </c>
      <c r="R10" s="31" t="n">
        <v>350</v>
      </c>
      <c r="S10" s="31" t="n">
        <v>200</v>
      </c>
      <c r="T10" s="32" t="n">
        <v>3</v>
      </c>
      <c r="U10" s="33">
        <f>IFERROR(N10*(1+T10/100),0)</f>
        <v/>
      </c>
      <c r="V10" s="33">
        <f>IFERROR(N10*12,0)</f>
        <v/>
      </c>
      <c r="W10" s="33">
        <f>IFERROR(Q10*12+R10+S10,0)</f>
        <v/>
      </c>
      <c r="X10" s="33">
        <f>IFERROR(N10*12-Q10*12-R10-S10,0)</f>
        <v/>
      </c>
      <c r="Y10" s="8">
        <f>IF(TODAY()&gt;L10,"Finalizado",IF(TODAY()&gt;L10-30,"Próximo vencimiento","Vigente"))</f>
        <v/>
      </c>
      <c r="Z10" s="2" t="inlineStr">
        <is>
          <t>Próximo vencimiento</t>
        </is>
      </c>
    </row>
    <row r="11">
      <c r="A11" s="9" t="inlineStr">
        <is>
          <t>ALQ-010</t>
        </is>
      </c>
      <c r="B11" s="9" t="inlineStr">
        <is>
          <t>Ramón Delgado Fuente</t>
        </is>
      </c>
      <c r="C11" s="9" t="inlineStr">
        <is>
          <t>01234567J</t>
        </is>
      </c>
      <c r="D11" s="9" t="inlineStr">
        <is>
          <t>Elena Vargas Medina</t>
        </is>
      </c>
      <c r="E11" s="9" t="inlineStr">
        <is>
          <t>98765432J</t>
        </is>
      </c>
      <c r="F11" s="9" t="inlineStr">
        <is>
          <t>Piso 1ºA</t>
        </is>
      </c>
      <c r="G11" s="9" t="inlineStr">
        <is>
          <t>Calle San Fernando 3 1ºA</t>
        </is>
      </c>
      <c r="H11" s="9" t="inlineStr">
        <is>
          <t>Sevilla</t>
        </is>
      </c>
      <c r="I11" s="9" t="inlineStr">
        <is>
          <t>Sevilla</t>
        </is>
      </c>
      <c r="J11" s="9" t="inlineStr">
        <is>
          <t>4234567SE9041B0010QR</t>
        </is>
      </c>
      <c r="K11" s="30" t="n">
        <v>45901</v>
      </c>
      <c r="L11" s="30" t="n">
        <v>46173</v>
      </c>
      <c r="M11" s="10">
        <f>IFERROR(DATEDIF(K11,L11,"m"),0)</f>
        <v/>
      </c>
      <c r="N11" s="31" t="n">
        <v>820</v>
      </c>
      <c r="O11" s="31" t="n">
        <v>820</v>
      </c>
      <c r="P11" s="31" t="n">
        <v>410</v>
      </c>
      <c r="Q11" s="31" t="n">
        <v>40</v>
      </c>
      <c r="R11" s="31" t="n">
        <v>330</v>
      </c>
      <c r="S11" s="31" t="n">
        <v>190</v>
      </c>
      <c r="T11" s="32" t="n">
        <v>2.9</v>
      </c>
      <c r="U11" s="34">
        <f>IFERROR(N11*(1+T11/100),0)</f>
        <v/>
      </c>
      <c r="V11" s="34">
        <f>IFERROR(N11*12,0)</f>
        <v/>
      </c>
      <c r="W11" s="34">
        <f>IFERROR(Q11*12+R11+S11,0)</f>
        <v/>
      </c>
      <c r="X11" s="34">
        <f>IFERROR(N11*12-Q11*12-R11-S11,0)</f>
        <v/>
      </c>
      <c r="Y11" s="12">
        <f>IF(TODAY()&gt;L11,"Finalizado",IF(TODAY()&gt;L11-30,"Próximo vencimiento","Vigente"))</f>
        <v/>
      </c>
      <c r="Z11" s="9" t="inlineStr">
        <is>
          <t>Contrato finalizado</t>
        </is>
      </c>
    </row>
  </sheetData>
  <conditionalFormatting sqref="Y2:Y11">
    <cfRule type="expression" priority="1" dxfId="0" stopIfTrue="1">
      <formula>$Y2="Finalizado"</formula>
    </cfRule>
    <cfRule type="expression" priority="2" dxfId="1" stopIfTrue="1">
      <formula>$Y2="Próximo vencimiento"</formula>
    </cfRule>
    <cfRule type="expression" priority="3" dxfId="2" stopIfTrue="1">
      <formula>$Y2="Vigente"</formula>
    </cfRule>
  </conditionalFormatting>
  <conditionalFormatting sqref="X2:X11">
    <cfRule type="expression" priority="4" dxfId="3" stopIfTrue="0">
      <formula>$X2&gt;0</formula>
    </cfRule>
  </conditionalFormatting>
  <dataValidations count="1">
    <dataValidation sqref="Y2:Y11" showErrorMessage="1" showInputMessage="1" allowBlank="1" type="list">
      <formula1>"Vigente,Próximo vencimiento,Finalizado"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41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20" customWidth="1" min="3" max="3"/>
    <col width="20" customWidth="1" min="4" max="4"/>
    <col width="14" customWidth="1" min="5" max="5"/>
    <col width="14" customWidth="1" min="6" max="6"/>
  </cols>
  <sheetData>
    <row r="1" ht="35" customHeight="1">
      <c r="A1" s="13" t="inlineStr">
        <is>
          <t>RESUMEN — CONTRATOS DE ALQUILER DE VIVIENDA HABITUAL</t>
        </is>
      </c>
      <c r="B1" s="16" t="n"/>
      <c r="C1" s="16" t="n"/>
      <c r="D1" s="16" t="n"/>
      <c r="E1" s="16" t="n"/>
      <c r="F1" s="17" t="n"/>
    </row>
    <row r="2"/>
    <row r="3" ht="28" customHeight="1">
      <c r="A3" s="14" t="inlineStr">
        <is>
          <t>KPIs PRINCIPALES</t>
        </is>
      </c>
      <c r="B3" s="16" t="n"/>
      <c r="C3" s="16" t="n"/>
      <c r="D3" s="16" t="n"/>
      <c r="E3" s="16" t="n"/>
      <c r="F3" s="17" t="n"/>
    </row>
    <row r="4" ht="24" customHeight="1">
      <c r="A4" s="15" t="inlineStr">
        <is>
          <t>Total contratos</t>
        </is>
      </c>
      <c r="B4" s="16" t="n"/>
      <c r="C4" s="17" t="n"/>
      <c r="D4" s="18">
        <f>COUNTA(Contratos!A:A)-1</f>
        <v/>
      </c>
      <c r="E4" s="16" t="n"/>
      <c r="F4" s="17" t="n"/>
    </row>
    <row r="5" ht="24" customHeight="1">
      <c r="A5" s="15" t="inlineStr">
        <is>
          <t>Contratos vigentes</t>
        </is>
      </c>
      <c r="B5" s="16" t="n"/>
      <c r="C5" s="17" t="n"/>
      <c r="D5" s="18">
        <f>COUNTIF(Contratos!Y:Y,"Vigente")</f>
        <v/>
      </c>
      <c r="E5" s="16" t="n"/>
      <c r="F5" s="17" t="n"/>
    </row>
    <row r="6" ht="24" customHeight="1">
      <c r="A6" s="15" t="inlineStr">
        <is>
          <t>Próximos a vencer</t>
        </is>
      </c>
      <c r="B6" s="16" t="n"/>
      <c r="C6" s="17" t="n"/>
      <c r="D6" s="18">
        <f>COUNTIF(Contratos!Y:Y,"Próximo vencimiento")</f>
        <v/>
      </c>
      <c r="E6" s="16" t="n"/>
      <c r="F6" s="17" t="n"/>
    </row>
    <row r="7" ht="24" customHeight="1">
      <c r="A7" s="15" t="inlineStr">
        <is>
          <t>Contratos finalizados</t>
        </is>
      </c>
      <c r="B7" s="16" t="n"/>
      <c r="C7" s="17" t="n"/>
      <c r="D7" s="18">
        <f>COUNTIF(Contratos!Y:Y,"Finalizado")</f>
        <v/>
      </c>
      <c r="E7" s="16" t="n"/>
      <c r="F7" s="17" t="n"/>
    </row>
    <row r="8" ht="24" customHeight="1">
      <c r="A8" s="15" t="inlineStr">
        <is>
          <t>Renta media mensual (€)</t>
        </is>
      </c>
      <c r="B8" s="16" t="n"/>
      <c r="C8" s="17" t="n"/>
      <c r="D8" s="35">
        <f>IFERROR(AVERAGE(Contratos!N2:N11),0)</f>
        <v/>
      </c>
      <c r="E8" s="16" t="n"/>
      <c r="F8" s="17" t="n"/>
    </row>
    <row r="9" ht="24" customHeight="1">
      <c r="A9" s="15" t="inlineStr">
        <is>
          <t>Renta total mensual (€)</t>
        </is>
      </c>
      <c r="B9" s="16" t="n"/>
      <c r="C9" s="17" t="n"/>
      <c r="D9" s="35">
        <f>IFERROR(SUM(Contratos!N2:N11),0)</f>
        <v/>
      </c>
      <c r="E9" s="16" t="n"/>
      <c r="F9" s="17" t="n"/>
    </row>
    <row r="10" ht="24" customHeight="1">
      <c r="A10" s="15" t="inlineStr">
        <is>
          <t>Fianza total (€)</t>
        </is>
      </c>
      <c r="B10" s="16" t="n"/>
      <c r="C10" s="17" t="n"/>
      <c r="D10" s="35">
        <f>IFERROR(SUM(Contratos!O2:O11),0)</f>
        <v/>
      </c>
      <c r="E10" s="16" t="n"/>
      <c r="F10" s="17" t="n"/>
    </row>
    <row r="11" ht="24" customHeight="1">
      <c r="A11" s="15" t="inlineStr">
        <is>
          <t>Depósito adicional total (€)</t>
        </is>
      </c>
      <c r="B11" s="16" t="n"/>
      <c r="C11" s="17" t="n"/>
      <c r="D11" s="35">
        <f>IFERROR(SUM(Contratos!P2:P11),0)</f>
        <v/>
      </c>
      <c r="E11" s="16" t="n"/>
      <c r="F11" s="17" t="n"/>
    </row>
    <row r="12" ht="24" customHeight="1">
      <c r="A12" s="15" t="inlineStr">
        <is>
          <t>Ingreso neto anual total (€)</t>
        </is>
      </c>
      <c r="B12" s="16" t="n"/>
      <c r="C12" s="17" t="n"/>
      <c r="D12" s="35">
        <f>IFERROR(SUM(Contratos!X2:X11),0)</f>
        <v/>
      </c>
      <c r="E12" s="16" t="n"/>
      <c r="F12" s="17" t="n"/>
    </row>
    <row r="13"/>
    <row r="14" ht="28" customHeight="1">
      <c r="A14" s="14" t="inlineStr">
        <is>
          <t>RESUMEN POR PROVINCIA</t>
        </is>
      </c>
      <c r="B14" s="16" t="n"/>
      <c r="C14" s="16" t="n"/>
      <c r="D14" s="16" t="n"/>
      <c r="E14" s="16" t="n"/>
      <c r="F14" s="17" t="n"/>
    </row>
    <row r="15">
      <c r="A15" s="1" t="inlineStr">
        <is>
          <t>Provincia</t>
        </is>
      </c>
      <c r="B15" s="1" t="inlineStr">
        <is>
          <t>Nº contratos</t>
        </is>
      </c>
      <c r="C15" s="1" t="inlineStr">
        <is>
          <t>Renta total (€)</t>
        </is>
      </c>
      <c r="D15" s="1" t="inlineStr">
        <is>
          <t>Renta media (€)</t>
        </is>
      </c>
    </row>
    <row r="16">
      <c r="A16" s="2" t="inlineStr">
        <is>
          <t>Madrid</t>
        </is>
      </c>
      <c r="B16" s="4">
        <f>COUNTIF(Contratos!I:I,A16)</f>
        <v/>
      </c>
      <c r="C16" s="33">
        <f>IFERROR(SUMIF(Contratos!I:I,A16,Contratos!N:N),0)</f>
        <v/>
      </c>
      <c r="D16" s="33">
        <f>IFERROR(SUMIF(Contratos!I:I,A16,Contratos!N:N)/COUNTIF(Contratos!I:I,A16),0)</f>
        <v/>
      </c>
    </row>
    <row r="17">
      <c r="A17" s="9" t="inlineStr">
        <is>
          <t>Barcelona</t>
        </is>
      </c>
      <c r="B17" s="10">
        <f>COUNTIF(Contratos!I:I,A17)</f>
        <v/>
      </c>
      <c r="C17" s="34">
        <f>IFERROR(SUMIF(Contratos!I:I,A17,Contratos!N:N),0)</f>
        <v/>
      </c>
      <c r="D17" s="34">
        <f>IFERROR(SUMIF(Contratos!I:I,A17,Contratos!N:N)/COUNTIF(Contratos!I:I,A17),0)</f>
        <v/>
      </c>
    </row>
    <row r="18">
      <c r="A18" s="2" t="inlineStr">
        <is>
          <t>Sevilla</t>
        </is>
      </c>
      <c r="B18" s="4">
        <f>COUNTIF(Contratos!I:I,A18)</f>
        <v/>
      </c>
      <c r="C18" s="33">
        <f>IFERROR(SUMIF(Contratos!I:I,A18,Contratos!N:N),0)</f>
        <v/>
      </c>
      <c r="D18" s="33">
        <f>IFERROR(SUMIF(Contratos!I:I,A18,Contratos!N:N)/COUNTIF(Contratos!I:I,A18),0)</f>
        <v/>
      </c>
    </row>
    <row r="19">
      <c r="A19" s="9" t="inlineStr">
        <is>
          <t>Valencia</t>
        </is>
      </c>
      <c r="B19" s="10">
        <f>COUNTIF(Contratos!I:I,A19)</f>
        <v/>
      </c>
      <c r="C19" s="34">
        <f>IFERROR(SUMIF(Contratos!I:I,A19,Contratos!N:N),0)</f>
        <v/>
      </c>
      <c r="D19" s="34">
        <f>IFERROR(SUMIF(Contratos!I:I,A19,Contratos!N:N)/COUNTIF(Contratos!I:I,A19),0)</f>
        <v/>
      </c>
    </row>
    <row r="20">
      <c r="A20" s="2" t="inlineStr">
        <is>
          <t>Málaga</t>
        </is>
      </c>
      <c r="B20" s="4">
        <f>COUNTIF(Contratos!I:I,A20)</f>
        <v/>
      </c>
      <c r="C20" s="33">
        <f>IFERROR(SUMIF(Contratos!I:I,A20,Contratos!N:N),0)</f>
        <v/>
      </c>
      <c r="D20" s="33">
        <f>IFERROR(SUMIF(Contratos!I:I,A20,Contratos!N:N)/COUNTIF(Contratos!I:I,A20),0)</f>
        <v/>
      </c>
    </row>
    <row r="21">
      <c r="A21" s="9" t="inlineStr">
        <is>
          <t>Vizcaya</t>
        </is>
      </c>
      <c r="B21" s="10">
        <f>COUNTIF(Contratos!I:I,A21)</f>
        <v/>
      </c>
      <c r="C21" s="34">
        <f>IFERROR(SUMIF(Contratos!I:I,A21,Contratos!N:N),0)</f>
        <v/>
      </c>
      <c r="D21" s="34">
        <f>IFERROR(SUMIF(Contratos!I:I,A21,Contratos!N:N)/COUNTIF(Contratos!I:I,A21),0)</f>
        <v/>
      </c>
    </row>
    <row r="22">
      <c r="A22" s="2" t="inlineStr">
        <is>
          <t>Zaragoza</t>
        </is>
      </c>
      <c r="B22" s="4">
        <f>COUNTIF(Contratos!I:I,A22)</f>
        <v/>
      </c>
      <c r="C22" s="33">
        <f>IFERROR(SUMIF(Contratos!I:I,A22,Contratos!N:N),0)</f>
        <v/>
      </c>
      <c r="D22" s="33">
        <f>IFERROR(SUMIF(Contratos!I:I,A22,Contratos!N:N)/COUNTIF(Contratos!I:I,A22),0)</f>
        <v/>
      </c>
    </row>
    <row r="23"/>
    <row r="24"/>
    <row r="25" ht="28" customHeight="1">
      <c r="A25" s="14" t="inlineStr">
        <is>
          <t>BÚSQUEDA DE CONTRATO POR ID</t>
        </is>
      </c>
      <c r="B25" s="16" t="n"/>
      <c r="C25" s="16" t="n"/>
      <c r="D25" s="16" t="n"/>
      <c r="E25" s="16" t="n"/>
      <c r="F25" s="17" t="n"/>
    </row>
    <row r="26">
      <c r="A26" s="20" t="inlineStr">
        <is>
          <t>ID contrato:</t>
        </is>
      </c>
      <c r="B26" s="21" t="inlineStr">
        <is>
          <t>ALQ-001</t>
        </is>
      </c>
    </row>
    <row r="27">
      <c r="A27" s="22" t="inlineStr">
        <is>
          <t>Arrendador</t>
        </is>
      </c>
      <c r="B27" s="23">
        <f>IFERROR(VLOOKUP(B26,Contratos!A:Z,2,FALSE),"")</f>
        <v/>
      </c>
    </row>
    <row r="28">
      <c r="A28" s="22" t="inlineStr">
        <is>
          <t>Arrendatario</t>
        </is>
      </c>
      <c r="B28" s="23">
        <f>IFERROR(VLOOKUP(B26,Contratos!A:Z,4,FALSE),"")</f>
        <v/>
      </c>
    </row>
    <row r="29">
      <c r="A29" s="22" t="inlineStr">
        <is>
          <t>Dirección</t>
        </is>
      </c>
      <c r="B29" s="23">
        <f>IFERROR(VLOOKUP(B26,Contratos!A:Z,7,FALSE),"")</f>
        <v/>
      </c>
    </row>
    <row r="30">
      <c r="A30" s="22" t="inlineStr">
        <is>
          <t>Municipio</t>
        </is>
      </c>
      <c r="B30" s="23">
        <f>IFERROR(VLOOKUP(B26,Contratos!A:Z,8,FALSE),"")</f>
        <v/>
      </c>
    </row>
    <row r="31">
      <c r="A31" s="22" t="inlineStr">
        <is>
          <t>Fecha inicio</t>
        </is>
      </c>
      <c r="B31" s="36">
        <f>IFERROR(VLOOKUP(B26,Contratos!A:Z,11,FALSE),"")</f>
        <v/>
      </c>
    </row>
    <row r="32">
      <c r="A32" s="22" t="inlineStr">
        <is>
          <t>Fecha fin</t>
        </is>
      </c>
      <c r="B32" s="36">
        <f>IFERROR(VLOOKUP(B26,Contratos!A:Z,12,FALSE),"")</f>
        <v/>
      </c>
    </row>
    <row r="33">
      <c r="A33" s="22" t="inlineStr">
        <is>
          <t>Renta mensual</t>
        </is>
      </c>
      <c r="B33" s="37">
        <f>IFERROR(VLOOKUP(B26,Contratos!A:Z,14,FALSE),0)</f>
        <v/>
      </c>
    </row>
    <row r="34">
      <c r="A34" s="22" t="inlineStr">
        <is>
          <t>Estado</t>
        </is>
      </c>
      <c r="B34" s="23">
        <f>IFERROR(VLOOKUP(B26,Contratos!A:Z,25,FALSE),"")</f>
        <v/>
      </c>
    </row>
    <row r="35"/>
    <row r="36"/>
    <row r="37"/>
    <row r="38">
      <c r="H38" t="inlineStr">
        <is>
          <t>Estado</t>
        </is>
      </c>
      <c r="I38" t="inlineStr">
        <is>
          <t>Cantidad</t>
        </is>
      </c>
    </row>
    <row r="39">
      <c r="H39" t="inlineStr">
        <is>
          <t>Vigente</t>
        </is>
      </c>
      <c r="I39">
        <f>COUNTIF(Contratos!Y:Y,"Vigente")</f>
        <v/>
      </c>
    </row>
    <row r="40">
      <c r="H40" t="inlineStr">
        <is>
          <t>Próximo vencimiento</t>
        </is>
      </c>
      <c r="I40">
        <f>COUNTIF(Contratos!Y:Y,"Próximo vencimiento")</f>
        <v/>
      </c>
    </row>
    <row r="41">
      <c r="H41" t="inlineStr">
        <is>
          <t>Finalizado</t>
        </is>
      </c>
      <c r="I41">
        <f>COUNTIF(Contratos!Y:Y,"Finalizado")</f>
        <v/>
      </c>
    </row>
  </sheetData>
  <mergeCells count="22">
    <mergeCell ref="A1:F1"/>
    <mergeCell ref="A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A11:C11"/>
    <mergeCell ref="D11:F11"/>
    <mergeCell ref="A12:C12"/>
    <mergeCell ref="D12:F12"/>
    <mergeCell ref="A14:F14"/>
    <mergeCell ref="A25:F2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5" customHeight="1">
      <c r="A1" s="13" t="inlineStr">
        <is>
          <t>GUÍA DE USO — LIBRO CONTRATOS DE ALQUILER DE VIVIENDA HABITUAL</t>
        </is>
      </c>
      <c r="B1" s="16" t="n"/>
      <c r="C1" s="16" t="n"/>
      <c r="D1" s="17" t="n"/>
    </row>
    <row r="2" ht="18" customHeight="1">
      <c r="A2" s="26" t="inlineStr">
        <is>
          <t>FINALIDAD DEL LIBRO</t>
        </is>
      </c>
    </row>
    <row r="3" ht="18" customHeight="1">
      <c r="A3" s="27" t="inlineStr">
        <is>
          <t>Este libro permite gestionar contratos de alquiler de vivienda habitual conforme a la Ley de Arrendamientos Urbanos (LAU).</t>
        </is>
      </c>
    </row>
    <row r="4" ht="18" customHeight="1">
      <c r="A4" s="26" t="inlineStr">
        <is>
          <t>Incluye datos del arrendador y arrendatario, características del inmueble, condiciones económicas y estado de cada contrato.</t>
        </is>
      </c>
    </row>
    <row r="5" ht="18" customHeight="1">
      <c r="A5" s="28" t="inlineStr"/>
    </row>
    <row r="6" ht="18" customHeight="1">
      <c r="A6" s="29" t="inlineStr">
        <is>
          <t>HOJA «CONTRATOS»</t>
        </is>
      </c>
    </row>
    <row r="7" ht="18" customHeight="1">
      <c r="A7" s="27" t="inlineStr">
        <is>
          <t>Contiene la tabla principal con 10 contratos de muestra. Cada fila representa un contrato.</t>
        </is>
      </c>
    </row>
    <row r="8" ht="18" customHeight="1">
      <c r="A8" s="26" t="inlineStr">
        <is>
          <t>Columnas principales:</t>
        </is>
      </c>
    </row>
    <row r="9" ht="18" customHeight="1">
      <c r="A9" s="27" t="inlineStr">
        <is>
          <t xml:space="preserve">  · ID contrato: identificador único (ALQ-001...ALQ-010).</t>
        </is>
      </c>
    </row>
    <row r="10" ht="18" customHeight="1">
      <c r="A10" s="26" t="inlineStr">
        <is>
          <t xml:space="preserve">  · Arrendador / Arrendatario: nombre completo y NIF.</t>
        </is>
      </c>
    </row>
    <row r="11" ht="18" customHeight="1">
      <c r="A11" s="27" t="inlineStr">
        <is>
          <t xml:space="preserve">  · Inmueble: tipo, dirección, municipio, provincia y referencia catastral.</t>
        </is>
      </c>
    </row>
    <row r="12" ht="18" customHeight="1">
      <c r="A12" s="26" t="inlineStr">
        <is>
          <t xml:space="preserve">  · Fecha inicio / Fecha fin: formato DD/MM/AAAA (celdas en amarillo = editables).</t>
        </is>
      </c>
    </row>
    <row r="13" ht="18" customHeight="1">
      <c r="A13" s="27" t="inlineStr">
        <is>
          <t xml:space="preserve">  · Duración (meses): calculada automáticamente con DATEDIF(inicio,fin,"m").</t>
        </is>
      </c>
    </row>
    <row r="14" ht="18" customHeight="1">
      <c r="A14" s="26" t="inlineStr">
        <is>
          <t xml:space="preserve">  · Renta mensual, Fianza, Depósito adicional: en euros.</t>
        </is>
      </c>
    </row>
    <row r="15" ht="18" customHeight="1">
      <c r="A15" s="27" t="inlineStr">
        <is>
          <t xml:space="preserve">  · Gastos comunidad (mensual), IBI anual, Seguro hogar anual: costes del inmueble.</t>
        </is>
      </c>
    </row>
    <row r="16" ht="18" customHeight="1">
      <c r="A16" s="26" t="inlineStr">
        <is>
          <t xml:space="preserve">  · Actualización IPC (%): porcentaje de revisión anual pactado.</t>
        </is>
      </c>
    </row>
    <row r="17" ht="18" customHeight="1">
      <c r="A17" s="27" t="inlineStr">
        <is>
          <t xml:space="preserve">  · Revisión renta: renta mensual actualizada con IPC.</t>
        </is>
      </c>
    </row>
    <row r="18" ht="18" customHeight="1">
      <c r="A18" s="26" t="inlineStr">
        <is>
          <t xml:space="preserve">  · Total anual renta / Gastos anuales / Ingreso neto anual: calculados automáticamente.</t>
        </is>
      </c>
    </row>
    <row r="19" ht="18" customHeight="1">
      <c r="A19" s="27" t="inlineStr">
        <is>
          <t xml:space="preserve">  · Estado contrato: calculado con IF/TODAY(). Se actualiza cada vez que se abre el fichero.</t>
        </is>
      </c>
    </row>
    <row r="20" ht="18" customHeight="1">
      <c r="A20" s="28" t="inlineStr"/>
    </row>
    <row r="21" ht="18" customHeight="1">
      <c r="A21" s="29" t="inlineStr">
        <is>
          <t>HOJA «RESUMEN»</t>
        </is>
      </c>
    </row>
    <row r="22" ht="18" customHeight="1">
      <c r="A22" s="26" t="inlineStr">
        <is>
          <t>Dashboard con KPIs, tabla resumen por provincia y búsqueda por ID de contrato.</t>
        </is>
      </c>
    </row>
    <row r="23" ht="18" customHeight="1">
      <c r="A23" s="27" t="inlineStr">
        <is>
          <t xml:space="preserve">  · KPIs: total contratos, vigentes, próximos a vencer, rentas, fianzas e ingresos netos.</t>
        </is>
      </c>
    </row>
    <row r="24" ht="18" customHeight="1">
      <c r="A24" s="26" t="inlineStr">
        <is>
          <t xml:space="preserve">  · Tabla por provincia: usa COUNTIF y SUMIF sobre la hoja Contratos.</t>
        </is>
      </c>
    </row>
    <row r="25" ht="18" customHeight="1">
      <c r="A25" s="27" t="inlineStr">
        <is>
          <t xml:space="preserve">  · Búsqueda: escriba un ID en la celda B26 (p.ej. ALQ-003) para recuperar datos con VLOOKUP.</t>
        </is>
      </c>
    </row>
    <row r="26" ht="18" customHeight="1">
      <c r="A26" s="26" t="inlineStr">
        <is>
          <t xml:space="preserve">  · Gráficos: barras (renta por provincia), circular (estados) y línea (evolución de rentas).</t>
        </is>
      </c>
    </row>
    <row r="27" ht="18" customHeight="1">
      <c r="A27" s="28" t="inlineStr"/>
    </row>
    <row r="28" ht="18" customHeight="1">
      <c r="A28" s="29" t="inlineStr">
        <is>
          <t>ASPECTOS LEGALES — LAU Y NORMATIVA VIGENTE</t>
        </is>
      </c>
    </row>
    <row r="29" ht="18" customHeight="1">
      <c r="A29" s="27" t="inlineStr">
        <is>
          <t xml:space="preserve">  · Fianza obligatoria: 1 mensualidad de renta (Art. 36 LAU). Depósito en organismo autonómico.</t>
        </is>
      </c>
    </row>
    <row r="30" ht="18" customHeight="1">
      <c r="A30" s="26" t="inlineStr">
        <is>
          <t xml:space="preserve">  · Duración mínima: 5 años (arrendador persona física) o 7 años (persona jurídica).</t>
        </is>
      </c>
    </row>
    <row r="31" ht="18" customHeight="1">
      <c r="A31" s="27" t="inlineStr">
        <is>
          <t xml:space="preserve">  · Prórroga obligatoria: 3 años adicionales si ninguna parte comunica su intención de no renovar.</t>
        </is>
      </c>
    </row>
    <row r="32" ht="18" customHeight="1">
      <c r="A32" s="26" t="inlineStr">
        <is>
          <t xml:space="preserve">  · Actualización de renta: según cláusula pactada o, en su defecto, IPC. Art. 18 LAU.</t>
        </is>
      </c>
    </row>
    <row r="33" ht="18" customHeight="1">
      <c r="A33" s="27" t="inlineStr">
        <is>
          <t xml:space="preserve">  · Declaración en IRPF: el arrendador debe declarar los ingresos del alquiler.</t>
        </is>
      </c>
    </row>
    <row r="34" ht="18" customHeight="1">
      <c r="A34" s="26" t="inlineStr">
        <is>
          <t xml:space="preserve">  · Reducción fiscal del 60 % aplicable a vivienda habitual del arrendatario (Art. 23.2 LIRPF).</t>
        </is>
      </c>
    </row>
    <row r="35" ht="18" customHeight="1">
      <c r="A35" s="27" t="inlineStr">
        <is>
          <t xml:space="preserve">  · IBI: generalmente a cargo del arrendador salvo pacto expreso en contrato.</t>
        </is>
      </c>
    </row>
    <row r="36" ht="18" customHeight="1">
      <c r="A36" s="28" t="inlineStr"/>
    </row>
    <row r="37" ht="18" customHeight="1">
      <c r="A37" s="29" t="inlineStr">
        <is>
          <t>CONVENCIÓN DE COLORES</t>
        </is>
      </c>
    </row>
    <row r="38" ht="18" customHeight="1">
      <c r="A38" s="26" t="inlineStr">
        <is>
          <t xml:space="preserve">  · Cabeceras (#1E293B): fondo oscuro, texto blanco.</t>
        </is>
      </c>
    </row>
    <row r="39" ht="18" customHeight="1">
      <c r="A39" s="27" t="inlineStr">
        <is>
          <t xml:space="preserve">  · Subcabeceras (#C8102E): fondo rojo corporativo, texto blanco.</t>
        </is>
      </c>
    </row>
    <row r="40" ht="18" customHeight="1">
      <c r="A40" s="26" t="inlineStr">
        <is>
          <t xml:space="preserve">  · Celdas editables (#FFFBEB): fondo amarillo claro. Son los campos de entrada.</t>
        </is>
      </c>
    </row>
    <row r="41" ht="18" customHeight="1">
      <c r="A41" s="27" t="inlineStr">
        <is>
          <t xml:space="preserve">  · Estado «Vigente»: fondo verde (#16A34A).</t>
        </is>
      </c>
    </row>
    <row r="42" ht="18" customHeight="1">
      <c r="A42" s="26" t="inlineStr">
        <is>
          <t xml:space="preserve">  · Estado «Próximo vencimiento»: fondo ámbar (#F59E0B).</t>
        </is>
      </c>
    </row>
    <row r="43" ht="18" customHeight="1">
      <c r="A43" s="27" t="inlineStr">
        <is>
          <t xml:space="preserve">  · Estado «Finalizado»: fondo rojo (#DC2626).</t>
        </is>
      </c>
    </row>
    <row r="44" ht="18" customHeight="1">
      <c r="A44" s="26" t="inlineStr">
        <is>
          <t xml:space="preserve">  · Ingreso neto positivo: fondo verde claro (#DCFCE7).</t>
        </is>
      </c>
    </row>
    <row r="45" ht="18" customHeight="1">
      <c r="A45" s="28" t="inlineStr"/>
    </row>
    <row r="46" ht="18" customHeight="1">
      <c r="A46" s="29" t="inlineStr">
        <is>
          <t>NOTAS TÉCNICAS</t>
        </is>
      </c>
    </row>
    <row r="47" ht="18" customHeight="1">
      <c r="A47" s="27" t="inlineStr">
        <is>
          <t xml:space="preserve">  · No hay protección de hoja ni contraseñas.</t>
        </is>
      </c>
    </row>
    <row r="48" ht="18" customHeight="1">
      <c r="A48" s="26" t="inlineStr">
        <is>
          <t xml:space="preserve">  · No se usan nombres definidos; las fórmulas referencian directamente la hoja Contratos.</t>
        </is>
      </c>
    </row>
    <row r="49" ht="18" customHeight="1">
      <c r="A49" s="27" t="inlineStr">
        <is>
          <t xml:space="preserve">  · Las fórmulas usan nombres de funciones en inglés (xlsx lo requiere; Excel muestra el idioma local).</t>
        </is>
      </c>
    </row>
    <row r="50" ht="18" customHeight="1">
      <c r="A50" s="26" t="inlineStr">
        <is>
          <t xml:space="preserve">  · Separador de argumentos en fórmulas: coma (,) según estándar xlsx.</t>
        </is>
      </c>
    </row>
    <row r="51" ht="18" customHeight="1">
      <c r="A51" s="27" t="inlineStr">
        <is>
          <t xml:space="preserve">  · Formato fecha: DD/MM/AAAA (estándar español). Formato moneda: 1.234,56 €.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2026-06-19T10:50:52Z</dcterms:created>
  <dcterms:modified xmlns:dcterms="http://purl.org/dc/terms/" xmlns:xsi="http://www.w3.org/2001/XMLSchema-instance" xsi:type="dcterms:W3CDTF">2026-06-19T10:50:52Z</dcterms:modified>
</cp:coreProperties>
</file>