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eraciones" sheetId="1" state="visible" r:id="rId1"/>
    <sheet xmlns:r="http://schemas.openxmlformats.org/officeDocument/2006/relationships" name="Cálculo Fiscal" sheetId="2" state="visible" r:id="rId2"/>
    <sheet xmlns:r="http://schemas.openxmlformats.org/officeDocument/2006/relationships" name="Resumen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,00%"/>
  </numFmts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</font>
    <font>
      <b val="1"/>
      <color rgb="001E293B"/>
    </font>
    <font>
      <b val="1"/>
      <color rgb="00C8102E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164" fontId="0" fillId="3" borderId="1" pivotButton="0" quotePrefix="0" xfId="0"/>
    <xf numFmtId="165" fontId="0" fillId="4" borderId="1" pivotButton="0" quotePrefix="0" xfId="0"/>
    <xf numFmtId="1" fontId="0" fillId="3" borderId="1" pivotButton="0" quotePrefix="0" xfId="0"/>
    <xf numFmtId="165" fontId="0" fillId="3" borderId="1" pivotButton="0" quotePrefix="0" xfId="0"/>
    <xf numFmtId="166" fontId="0" fillId="3" borderId="1" pivotButton="0" quotePrefix="0" xfId="0"/>
    <xf numFmtId="0" fontId="0" fillId="5" borderId="1" pivotButton="0" quotePrefix="0" xfId="0"/>
    <xf numFmtId="164" fontId="0" fillId="5" borderId="1" pivotButton="0" quotePrefix="0" xfId="0"/>
    <xf numFmtId="1" fontId="0" fillId="5" borderId="1" pivotButton="0" quotePrefix="0" xfId="0"/>
    <xf numFmtId="165" fontId="0" fillId="5" borderId="1" pivotButton="0" quotePrefix="0" xfId="0"/>
    <xf numFmtId="166" fontId="0" fillId="5" borderId="1" pivotButton="0" quotePrefix="0" xfId="0"/>
    <xf numFmtId="0" fontId="2" fillId="6" borderId="1" applyAlignment="1" pivotButton="0" quotePrefix="0" xfId="0">
      <alignment horizontal="center" vertical="center" wrapText="1"/>
    </xf>
    <xf numFmtId="166" fontId="0" fillId="4" borderId="1" pivotButton="0" quotePrefix="0" xfId="0"/>
    <xf numFmtId="0" fontId="0" fillId="4" borderId="1" pivotButton="0" quotePrefix="0" xfId="0"/>
    <xf numFmtId="0" fontId="3" fillId="0" borderId="0" pivotButton="0" quotePrefix="0" xfId="0"/>
    <xf numFmtId="1" fontId="4" fillId="0" borderId="0" pivotButton="0" quotePrefix="0" xfId="0"/>
    <xf numFmtId="0" fontId="2" fillId="6" borderId="0" pivotButton="0" quotePrefix="0" xfId="0"/>
    <xf numFmtId="0" fontId="3" fillId="3" borderId="1" pivotButton="0" quotePrefix="0" xfId="0"/>
    <xf numFmtId="1" fontId="4" fillId="0" borderId="1" pivotButton="0" quotePrefix="0" xfId="0"/>
    <xf numFmtId="0" fontId="3" fillId="5" borderId="1" pivotButton="0" quotePrefix="0" xfId="0"/>
    <xf numFmtId="165" fontId="4" fillId="0" borderId="1" pivotButton="0" quotePrefix="0" xfId="0"/>
    <xf numFmtId="166" fontId="4" fillId="0" borderId="1" pivotButton="0" quotePrefix="0" xfId="0"/>
    <xf numFmtId="1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  <xf numFmtId="164" fontId="0" fillId="3" borderId="1" pivotButton="0" quotePrefix="0" xfId="0"/>
    <xf numFmtId="165" fontId="0" fillId="4" borderId="1" pivotButton="0" quotePrefix="0" xfId="0"/>
    <xf numFmtId="165" fontId="0" fillId="3" borderId="1" pivotButton="0" quotePrefix="0" xfId="0"/>
    <xf numFmtId="166" fontId="0" fillId="3" borderId="1" pivotButton="0" quotePrefix="0" xfId="0"/>
    <xf numFmtId="164" fontId="0" fillId="5" borderId="1" pivotButton="0" quotePrefix="0" xfId="0"/>
    <xf numFmtId="165" fontId="0" fillId="5" borderId="1" pivotButton="0" quotePrefix="0" xfId="0"/>
    <xf numFmtId="166" fontId="0" fillId="5" borderId="1" pivotButton="0" quotePrefix="0" xfId="0"/>
    <xf numFmtId="166" fontId="0" fillId="4" borderId="1" pivotButton="0" quotePrefix="0" xfId="0"/>
    <xf numFmtId="165" fontId="4" fillId="0" borderId="1" pivotButton="0" quotePrefix="0" xfId="0"/>
    <xf numFmtId="166" fontId="4" fillId="0" borderId="1" pivotButton="0" quotePrefix="0" xfId="0"/>
  </cellXfs>
  <cellStyles count="1">
    <cellStyle name="Normal" xfId="0" builtinId="0" hidden="0"/>
  </cellStyles>
  <dxfs count="2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Ganancia bruta vs ganancia neta por operación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'Operaciones'!R2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'Operaciones'!$A$3:$A$11</f>
            </numRef>
          </cat>
          <val>
            <numRef>
              <f>'Operaciones'!$R$3:$R$11</f>
            </numRef>
          </val>
        </ser>
        <ser>
          <idx val="1"/>
          <order val="1"/>
          <tx>
            <strRef>
              <f>'Operaciones'!U2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'Operaciones'!$A$3:$A$11</f>
            </numRef>
          </cat>
          <val>
            <numRef>
              <f>'Operaciones'!$U$3:$U$11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ID operación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Reparto de operaciones</a:t>
            </a:r>
          </a:p>
        </rich>
      </tx>
    </title>
    <plotArea>
      <pieChart>
        <varyColors val="1"/>
        <ser>
          <idx val="0"/>
          <order val="0"/>
          <tx>
            <strRef>
              <f>'Resumen'!B12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'Resumen'!$A$13:$A$15</f>
            </numRef>
          </cat>
          <val>
            <numRef>
              <f>'Resumen'!$B$13:$B$15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de la ganancia neta por fecha de venta</a:t>
            </a:r>
          </a:p>
        </rich>
      </tx>
    </title>
    <plotArea>
      <lineChart>
        <grouping val="standard"/>
        <ser>
          <idx val="0"/>
          <order val="0"/>
          <tx>
            <strRef>
              <f>'Operaciones'!U2</f>
            </strRef>
          </tx>
          <spPr>
            <a:ln xmlns:a="http://schemas.openxmlformats.org/drawingml/2006/main" w="20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'Operaciones'!$C$3:$C$11</f>
            </numRef>
          </cat>
          <val>
            <numRef>
              <f>'Operaciones'!$U$3:$U$11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Fecha de venta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Ganancia neta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21</row>
      <rowOff>0</rowOff>
    </from>
    <ext cx="720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3" customWidth="1" min="3" max="3"/>
    <col width="20" customWidth="1" min="4" max="4"/>
    <col width="12" customWidth="1" min="5" max="5"/>
    <col width="22" customWidth="1" min="6" max="6"/>
    <col width="26" customWidth="1" min="7" max="7"/>
    <col width="16" customWidth="1" min="8" max="8"/>
    <col width="12" customWidth="1" min="9" max="9"/>
    <col width="22" customWidth="1" min="10" max="10"/>
    <col width="20" customWidth="1" min="11" max="11"/>
    <col width="24" customWidth="1" min="12" max="12"/>
    <col width="16" customWidth="1" min="13" max="13"/>
    <col width="14" customWidth="1" min="14" max="14"/>
    <col width="16" customWidth="1" min="15" max="15"/>
    <col width="14" customWidth="1" min="16" max="16"/>
    <col width="10" customWidth="1" min="17" max="17"/>
    <col width="20" customWidth="1" min="18" max="18"/>
    <col width="16" customWidth="1" min="19" max="19"/>
    <col width="18" customWidth="1" min="20" max="20"/>
    <col width="20" customWidth="1" min="21" max="21"/>
    <col width="14" customWidth="1" min="22" max="22"/>
    <col width="30" customWidth="1" min="23" max="23"/>
    <col width="18" customWidth="1" min="24" max="24"/>
  </cols>
  <sheetData>
    <row r="1" ht="26" customHeight="1">
      <c r="A1" s="1" t="inlineStr">
        <is>
          <t>COEFICIENTES DE ABATIMIENTO EN VENTA DE VIVIENDA – REGISTRO DE OPERACIONES</t>
        </is>
      </c>
    </row>
    <row r="2" ht="34" customHeight="1">
      <c r="A2" s="2" t="inlineStr">
        <is>
          <t>ID operación</t>
        </is>
      </c>
      <c r="B2" s="2" t="inlineStr">
        <is>
          <t>Fecha compra</t>
        </is>
      </c>
      <c r="C2" s="2" t="inlineStr">
        <is>
          <t>Fecha venta</t>
        </is>
      </c>
      <c r="D2" s="2" t="inlineStr">
        <is>
          <t>Vendedor</t>
        </is>
      </c>
      <c r="E2" s="2" t="inlineStr">
        <is>
          <t>NIF</t>
        </is>
      </c>
      <c r="F2" s="2" t="inlineStr">
        <is>
          <t>Inmueble</t>
        </is>
      </c>
      <c r="G2" s="2" t="inlineStr">
        <is>
          <t>Dirección</t>
        </is>
      </c>
      <c r="H2" s="2" t="inlineStr">
        <is>
          <t>Municipio</t>
        </is>
      </c>
      <c r="I2" s="2" t="inlineStr">
        <is>
          <t>Provincia</t>
        </is>
      </c>
      <c r="J2" s="2" t="inlineStr">
        <is>
          <t>Referencia catastral</t>
        </is>
      </c>
      <c r="K2" s="2" t="inlineStr">
        <is>
          <t>Tipo de inmueble</t>
        </is>
      </c>
      <c r="L2" s="2" t="inlineStr">
        <is>
          <t>Régimen anterior (si aplica)</t>
        </is>
      </c>
      <c r="M2" s="2" t="inlineStr">
        <is>
          <t>Valor adquisición (€)</t>
        </is>
      </c>
      <c r="N2" s="2" t="inlineStr">
        <is>
          <t>Gastos compra (€)</t>
        </is>
      </c>
      <c r="O2" s="2" t="inlineStr">
        <is>
          <t>Valor transmisión (€)</t>
        </is>
      </c>
      <c r="P2" s="2" t="inlineStr">
        <is>
          <t>Gastos venta (€)</t>
        </is>
      </c>
      <c r="Q2" s="2" t="inlineStr">
        <is>
          <t>Años de tenencia</t>
        </is>
      </c>
      <c r="R2" s="2" t="inlineStr">
        <is>
          <t>Parte beneficio antes abatimiento (€)</t>
        </is>
      </c>
      <c r="S2" s="2" t="inlineStr">
        <is>
          <t>Límite abatible (€)</t>
        </is>
      </c>
      <c r="T2" s="2" t="inlineStr">
        <is>
          <t>Abatimiento aplicable (€)</t>
        </is>
      </c>
      <c r="U2" s="2" t="inlineStr">
        <is>
          <t>Ganancia patrimonial neta (€)</t>
        </is>
      </c>
      <c r="V2" s="2" t="inlineStr">
        <is>
          <t>% reducción aplicada</t>
        </is>
      </c>
      <c r="W2" s="2" t="inlineStr">
        <is>
          <t>Observaciones</t>
        </is>
      </c>
      <c r="X2" s="2" t="inlineStr">
        <is>
          <t>Años hasta 19/01/2006 (aux.)</t>
        </is>
      </c>
    </row>
    <row r="3">
      <c r="A3" s="3" t="inlineStr">
        <is>
          <t>OP-2026-001</t>
        </is>
      </c>
      <c r="B3" s="29" t="n">
        <v>32217</v>
      </c>
      <c r="C3" s="29" t="n">
        <v>46063</v>
      </c>
      <c r="D3" s="3" t="inlineStr">
        <is>
          <t>María García</t>
        </is>
      </c>
      <c r="E3" s="3" t="inlineStr">
        <is>
          <t>12345678Z</t>
        </is>
      </c>
      <c r="F3" s="3" t="inlineStr">
        <is>
          <t>Piso Calle Mayor</t>
        </is>
      </c>
      <c r="G3" s="3" t="inlineStr">
        <is>
          <t>Calle Mayor 12 3ºB</t>
        </is>
      </c>
      <c r="H3" s="3" t="inlineStr">
        <is>
          <t>Madrid</t>
        </is>
      </c>
      <c r="I3" s="3" t="inlineStr">
        <is>
          <t>Madrid</t>
        </is>
      </c>
      <c r="J3" s="3" t="inlineStr">
        <is>
          <t>9872023VK4797S0001AB</t>
        </is>
      </c>
      <c r="K3" s="3" t="inlineStr">
        <is>
          <t>Vivienda habitual</t>
        </is>
      </c>
      <c r="L3" s="3" t="inlineStr">
        <is>
          <t>-</t>
        </is>
      </c>
      <c r="M3" s="30" t="n">
        <v>60000</v>
      </c>
      <c r="N3" s="30" t="n">
        <v>3500</v>
      </c>
      <c r="O3" s="30" t="n">
        <v>285000</v>
      </c>
      <c r="P3" s="30" t="n">
        <v>9500</v>
      </c>
      <c r="Q3" s="6">
        <f>DATEDIF(B3,C3,"Y")</f>
        <v/>
      </c>
      <c r="R3" s="31">
        <f>MAX(0,O3-(M3+N3))</f>
        <v/>
      </c>
      <c r="S3" s="31">
        <f>IF(B3&lt;DATE(1994,12,31),ROUND(R3*MIN(1,X3*0.1111),2),0)</f>
        <v/>
      </c>
      <c r="T3" s="31">
        <f>MIN(R3,S3)</f>
        <v/>
      </c>
      <c r="U3" s="31">
        <f>R3-T3</f>
        <v/>
      </c>
      <c r="V3" s="32">
        <f>IF(R3=0,0,T3/R3)</f>
        <v/>
      </c>
      <c r="W3" s="3" t="inlineStr">
        <is>
          <t>Posible exención por reinversión en vivienda habitual</t>
        </is>
      </c>
      <c r="X3" s="6">
        <f>IF(B3&lt;DATE(1994,12,31),DATEDIF(B3,DATE(2006,1,19),"Y"),0)</f>
        <v/>
      </c>
    </row>
    <row r="4">
      <c r="A4" s="9" t="inlineStr">
        <is>
          <t>OP-2026-002</t>
        </is>
      </c>
      <c r="B4" s="33" t="n">
        <v>33775</v>
      </c>
      <c r="C4" s="33" t="n">
        <v>46086</v>
      </c>
      <c r="D4" s="9" t="inlineStr">
        <is>
          <t>Antonio López</t>
        </is>
      </c>
      <c r="E4" s="9" t="inlineStr">
        <is>
          <t>23456789X</t>
        </is>
      </c>
      <c r="F4" s="9" t="inlineStr">
        <is>
          <t>Ático Av. Diagonal</t>
        </is>
      </c>
      <c r="G4" s="9" t="inlineStr">
        <is>
          <t>Av. Diagonal 405</t>
        </is>
      </c>
      <c r="H4" s="9" t="inlineStr">
        <is>
          <t>Barcelona</t>
        </is>
      </c>
      <c r="I4" s="9" t="inlineStr">
        <is>
          <t>Barcelona</t>
        </is>
      </c>
      <c r="J4" s="9" t="inlineStr">
        <is>
          <t>1234567VH5812N0002CD</t>
        </is>
      </c>
      <c r="K4" s="9" t="inlineStr">
        <is>
          <t>Segunda residencia</t>
        </is>
      </c>
      <c r="L4" s="9" t="inlineStr">
        <is>
          <t>-</t>
        </is>
      </c>
      <c r="M4" s="30" t="n">
        <v>95000</v>
      </c>
      <c r="N4" s="30" t="n">
        <v>5200</v>
      </c>
      <c r="O4" s="30" t="n">
        <v>410000</v>
      </c>
      <c r="P4" s="30" t="n">
        <v>14500</v>
      </c>
      <c r="Q4" s="11">
        <f>DATEDIF(B4,C4,"Y")</f>
        <v/>
      </c>
      <c r="R4" s="34">
        <f>MAX(0,O4-(M4+N4))</f>
        <v/>
      </c>
      <c r="S4" s="34">
        <f>IF(B4&lt;DATE(1994,12,31),ROUND(R4*MIN(1,X4*0.1111),2),0)</f>
        <v/>
      </c>
      <c r="T4" s="34">
        <f>MIN(R4,S4)</f>
        <v/>
      </c>
      <c r="U4" s="34">
        <f>R4-T4</f>
        <v/>
      </c>
      <c r="V4" s="35">
        <f>IF(R4=0,0,T4/R4)</f>
        <v/>
      </c>
      <c r="W4" s="9" t="inlineStr">
        <is>
          <t>Gastos de comunidad al corriente</t>
        </is>
      </c>
      <c r="X4" s="11">
        <f>IF(B4&lt;DATE(1994,12,31),DATEDIF(B4,DATE(2006,1,19),"Y"),0)</f>
        <v/>
      </c>
    </row>
    <row r="5">
      <c r="A5" s="3" t="inlineStr">
        <is>
          <t>OP-2026-003</t>
        </is>
      </c>
      <c r="B5" s="29" t="n">
        <v>37146</v>
      </c>
      <c r="C5" s="29" t="n">
        <v>46134</v>
      </c>
      <c r="D5" s="3" t="inlineStr">
        <is>
          <t>Carmen Ruiz</t>
        </is>
      </c>
      <c r="E5" s="3" t="inlineStr">
        <is>
          <t>34567890Y</t>
        </is>
      </c>
      <c r="F5" s="3" t="inlineStr">
        <is>
          <t>Piso Calle Sierpes</t>
        </is>
      </c>
      <c r="G5" s="3" t="inlineStr">
        <is>
          <t>Calle Sierpes 8</t>
        </is>
      </c>
      <c r="H5" s="3" t="inlineStr">
        <is>
          <t>Sevilla</t>
        </is>
      </c>
      <c r="I5" s="3" t="inlineStr">
        <is>
          <t>Sevilla</t>
        </is>
      </c>
      <c r="J5" s="3" t="inlineStr">
        <is>
          <t>5647821TG3406S0003EF</t>
        </is>
      </c>
      <c r="K5" s="3" t="inlineStr">
        <is>
          <t>Vivienda habitual</t>
        </is>
      </c>
      <c r="L5" s="3" t="inlineStr">
        <is>
          <t>-</t>
        </is>
      </c>
      <c r="M5" s="30" t="n">
        <v>120000</v>
      </c>
      <c r="N5" s="30" t="n">
        <v>6500</v>
      </c>
      <c r="O5" s="30" t="n">
        <v>265000</v>
      </c>
      <c r="P5" s="30" t="n">
        <v>8200</v>
      </c>
      <c r="Q5" s="6">
        <f>DATEDIF(B5,C5,"Y")</f>
        <v/>
      </c>
      <c r="R5" s="31">
        <f>MAX(0,O5-(M5+N5))</f>
        <v/>
      </c>
      <c r="S5" s="31">
        <f>IF(B5&lt;DATE(1994,12,31),ROUND(R5*MIN(1,X5*0.1111),2),0)</f>
        <v/>
      </c>
      <c r="T5" s="31">
        <f>MIN(R5,S5)</f>
        <v/>
      </c>
      <c r="U5" s="31">
        <f>R5-T5</f>
        <v/>
      </c>
      <c r="V5" s="32">
        <f>IF(R5=0,0,T5/R5)</f>
        <v/>
      </c>
      <c r="W5" s="3" t="inlineStr">
        <is>
          <t>Compra posterior a 1994, no aplica abatimiento</t>
        </is>
      </c>
      <c r="X5" s="6">
        <f>IF(B5&lt;DATE(1994,12,31),DATEDIF(B5,DATE(2006,1,19),"Y"),0)</f>
        <v/>
      </c>
    </row>
    <row r="6">
      <c r="A6" s="9" t="inlineStr">
        <is>
          <t>OP-2026-004</t>
        </is>
      </c>
      <c r="B6" s="33" t="n">
        <v>31354</v>
      </c>
      <c r="C6" s="33" t="n">
        <v>46160</v>
      </c>
      <c r="D6" s="9" t="inlineStr">
        <is>
          <t>José Martínez</t>
        </is>
      </c>
      <c r="E6" s="9" t="inlineStr">
        <is>
          <t>45678901Z</t>
        </is>
      </c>
      <c r="F6" s="9" t="inlineStr">
        <is>
          <t>Piso Calle Colón</t>
        </is>
      </c>
      <c r="G6" s="9" t="inlineStr">
        <is>
          <t>Calle Colón 22</t>
        </is>
      </c>
      <c r="H6" s="9" t="inlineStr">
        <is>
          <t>Valencia</t>
        </is>
      </c>
      <c r="I6" s="9" t="inlineStr">
        <is>
          <t>Valencia</t>
        </is>
      </c>
      <c r="J6" s="9" t="inlineStr">
        <is>
          <t>6789012YJ2905N0004GH</t>
        </is>
      </c>
      <c r="K6" s="9" t="inlineStr">
        <is>
          <t>Segunda residencia</t>
        </is>
      </c>
      <c r="L6" s="9" t="inlineStr">
        <is>
          <t>-</t>
        </is>
      </c>
      <c r="M6" s="30" t="n">
        <v>45000</v>
      </c>
      <c r="N6" s="30" t="n">
        <v>2100</v>
      </c>
      <c r="O6" s="30" t="n">
        <v>198000</v>
      </c>
      <c r="P6" s="30" t="n">
        <v>6900</v>
      </c>
      <c r="Q6" s="11">
        <f>DATEDIF(B6,C6,"Y")</f>
        <v/>
      </c>
      <c r="R6" s="34">
        <f>MAX(0,O6-(M6+N6))</f>
        <v/>
      </c>
      <c r="S6" s="34">
        <f>IF(B6&lt;DATE(1994,12,31),ROUND(R6*MIN(1,X6*0.1111),2),0)</f>
        <v/>
      </c>
      <c r="T6" s="34">
        <f>MIN(R6,S6)</f>
        <v/>
      </c>
      <c r="U6" s="34">
        <f>R6-T6</f>
        <v/>
      </c>
      <c r="V6" s="35">
        <f>IF(R6=0,0,T6/R6)</f>
        <v/>
      </c>
      <c r="W6" s="9" t="inlineStr">
        <is>
          <t>Pendiente de valorar IBI acumulado</t>
        </is>
      </c>
      <c r="X6" s="11">
        <f>IF(B6&lt;DATE(1994,12,31),DATEDIF(B6,DATE(2006,1,19),"Y"),0)</f>
        <v/>
      </c>
    </row>
    <row r="7">
      <c r="A7" s="3" t="inlineStr">
        <is>
          <t>OP-2026-005</t>
        </is>
      </c>
      <c r="B7" s="29" t="n">
        <v>32898</v>
      </c>
      <c r="C7" s="29" t="n">
        <v>46203</v>
      </c>
      <c r="D7" s="3" t="inlineStr">
        <is>
          <t>Laura Fernández</t>
        </is>
      </c>
      <c r="E7" s="3" t="inlineStr">
        <is>
          <t>56789012A</t>
        </is>
      </c>
      <c r="F7" s="3" t="inlineStr">
        <is>
          <t>Local Paseo Castellana</t>
        </is>
      </c>
      <c r="G7" s="3" t="inlineStr">
        <is>
          <t>Paseo de la Castellana 150</t>
        </is>
      </c>
      <c r="H7" s="3" t="inlineStr">
        <is>
          <t>Madrid</t>
        </is>
      </c>
      <c r="I7" s="3" t="inlineStr">
        <is>
          <t>Madrid</t>
        </is>
      </c>
      <c r="J7" s="3" t="inlineStr">
        <is>
          <t>3456789VK4798S0005IJ</t>
        </is>
      </c>
      <c r="K7" s="3" t="inlineStr">
        <is>
          <t>Inmueble SL patrimonial</t>
        </is>
      </c>
      <c r="L7" s="3" t="inlineStr">
        <is>
          <t>Sociedad patrimonial (SL)</t>
        </is>
      </c>
      <c r="M7" s="30" t="n">
        <v>150000</v>
      </c>
      <c r="N7" s="30" t="n">
        <v>8000</v>
      </c>
      <c r="O7" s="30" t="n">
        <v>520000</v>
      </c>
      <c r="P7" s="30" t="n">
        <v>18000</v>
      </c>
      <c r="Q7" s="6">
        <f>DATEDIF(B7,C7,"Y")</f>
        <v/>
      </c>
      <c r="R7" s="31">
        <f>MAX(0,O7-(M7+N7))</f>
        <v/>
      </c>
      <c r="S7" s="31">
        <f>IF(B7&lt;DATE(1994,12,31),ROUND(R7*MIN(1,X7*0.1111),2),0)</f>
        <v/>
      </c>
      <c r="T7" s="31">
        <f>MIN(R7,S7)</f>
        <v/>
      </c>
      <c r="U7" s="31">
        <f>R7-T7</f>
        <v/>
      </c>
      <c r="V7" s="32">
        <f>IF(R7=0,0,T7/R7)</f>
        <v/>
      </c>
      <c r="W7" s="3" t="inlineStr">
        <is>
          <t>Titularidad de sociedad patrimonial, revisar régimen especial</t>
        </is>
      </c>
      <c r="X7" s="6">
        <f>IF(B7&lt;DATE(1994,12,31),DATEDIF(B7,DATE(2006,1,19),"Y"),0)</f>
        <v/>
      </c>
    </row>
    <row r="8">
      <c r="A8" s="9" t="inlineStr">
        <is>
          <t>OP-2026-006</t>
        </is>
      </c>
      <c r="B8" s="33" t="n">
        <v>35990</v>
      </c>
      <c r="C8" s="33" t="n">
        <v>46034</v>
      </c>
      <c r="D8" s="9" t="inlineStr">
        <is>
          <t>Manuel Sánchez</t>
        </is>
      </c>
      <c r="E8" s="9" t="inlineStr">
        <is>
          <t>67890123B</t>
        </is>
      </c>
      <c r="F8" s="9" t="inlineStr">
        <is>
          <t>Piso Rúa do Franco</t>
        </is>
      </c>
      <c r="G8" s="9" t="inlineStr">
        <is>
          <t>Rúa do Franco 17</t>
        </is>
      </c>
      <c r="H8" s="9" t="inlineStr">
        <is>
          <t>Santiago de Compostela</t>
        </is>
      </c>
      <c r="I8" s="9" t="inlineStr">
        <is>
          <t>A Coruña</t>
        </is>
      </c>
      <c r="J8" s="9" t="inlineStr">
        <is>
          <t>7890123XH1123N0006KL</t>
        </is>
      </c>
      <c r="K8" s="9" t="inlineStr">
        <is>
          <t>Vivienda habitual</t>
        </is>
      </c>
      <c r="L8" s="9" t="inlineStr">
        <is>
          <t>-</t>
        </is>
      </c>
      <c r="M8" s="30" t="n">
        <v>78000</v>
      </c>
      <c r="N8" s="30" t="n">
        <v>4200</v>
      </c>
      <c r="O8" s="30" t="n">
        <v>155000</v>
      </c>
      <c r="P8" s="30" t="n">
        <v>5100</v>
      </c>
      <c r="Q8" s="11">
        <f>DATEDIF(B8,C8,"Y")</f>
        <v/>
      </c>
      <c r="R8" s="34">
        <f>MAX(0,O8-(M8+N8))</f>
        <v/>
      </c>
      <c r="S8" s="34">
        <f>IF(B8&lt;DATE(1994,12,31),ROUND(R8*MIN(1,X8*0.1111),2),0)</f>
        <v/>
      </c>
      <c r="T8" s="34">
        <f>MIN(R8,S8)</f>
        <v/>
      </c>
      <c r="U8" s="34">
        <f>R8-T8</f>
        <v/>
      </c>
      <c r="V8" s="35">
        <f>IF(R8=0,0,T8/R8)</f>
        <v/>
      </c>
      <c r="W8" s="9" t="inlineStr">
        <is>
          <t>Sin reinversión prevista</t>
        </is>
      </c>
      <c r="X8" s="11">
        <f>IF(B8&lt;DATE(1994,12,31),DATEDIF(B8,DATE(2006,1,19),"Y"),0)</f>
        <v/>
      </c>
    </row>
    <row r="9">
      <c r="A9" s="3" t="inlineStr">
        <is>
          <t>OP-2026-007</t>
        </is>
      </c>
      <c r="B9" s="29" t="n">
        <v>34067</v>
      </c>
      <c r="C9" s="29" t="n">
        <v>46106</v>
      </c>
      <c r="D9" s="3" t="inlineStr">
        <is>
          <t>Elena Navarro</t>
        </is>
      </c>
      <c r="E9" s="3" t="inlineStr">
        <is>
          <t>78901234C</t>
        </is>
      </c>
      <c r="F9" s="3" t="inlineStr">
        <is>
          <t>Piso Gran Vía</t>
        </is>
      </c>
      <c r="G9" s="3" t="inlineStr">
        <is>
          <t>Calle Gran Vía 31</t>
        </is>
      </c>
      <c r="H9" s="3" t="inlineStr">
        <is>
          <t>Zaragoza</t>
        </is>
      </c>
      <c r="I9" s="3" t="inlineStr">
        <is>
          <t>Zaragoza</t>
        </is>
      </c>
      <c r="J9" s="3" t="inlineStr">
        <is>
          <t>8901234ZQ2234N0007MN</t>
        </is>
      </c>
      <c r="K9" s="3" t="inlineStr">
        <is>
          <t>Segunda residencia</t>
        </is>
      </c>
      <c r="L9" s="3" t="inlineStr">
        <is>
          <t>-</t>
        </is>
      </c>
      <c r="M9" s="30" t="n">
        <v>52000</v>
      </c>
      <c r="N9" s="30" t="n">
        <v>2800</v>
      </c>
      <c r="O9" s="30" t="n">
        <v>210000</v>
      </c>
      <c r="P9" s="30" t="n">
        <v>7300</v>
      </c>
      <c r="Q9" s="6">
        <f>DATEDIF(B9,C9,"Y")</f>
        <v/>
      </c>
      <c r="R9" s="31">
        <f>MAX(0,O9-(M9+N9))</f>
        <v/>
      </c>
      <c r="S9" s="31">
        <f>IF(B9&lt;DATE(1994,12,31),ROUND(R9*MIN(1,X9*0.1111),2),0)</f>
        <v/>
      </c>
      <c r="T9" s="31">
        <f>MIN(R9,S9)</f>
        <v/>
      </c>
      <c r="U9" s="31">
        <f>R9-T9</f>
        <v/>
      </c>
      <c r="V9" s="32">
        <f>IF(R9=0,0,T9/R9)</f>
        <v/>
      </c>
      <c r="W9" s="3" t="inlineStr">
        <is>
          <t>Revisar coeficiente por tenencia superior a 30 años</t>
        </is>
      </c>
      <c r="X9" s="6">
        <f>IF(B9&lt;DATE(1994,12,31),DATEDIF(B9,DATE(2006,1,19),"Y"),0)</f>
        <v/>
      </c>
    </row>
    <row r="10">
      <c r="A10" s="9" t="inlineStr">
        <is>
          <t>OP-2026-008</t>
        </is>
      </c>
      <c r="B10" s="33" t="n">
        <v>40228</v>
      </c>
      <c r="C10" s="33" t="n">
        <v>46211</v>
      </c>
      <c r="D10" s="9" t="inlineStr">
        <is>
          <t>Pablo Torres</t>
        </is>
      </c>
      <c r="E10" s="9" t="inlineStr">
        <is>
          <t>89012345D</t>
        </is>
      </c>
      <c r="F10" s="9" t="inlineStr">
        <is>
          <t>Piso Calle Larios</t>
        </is>
      </c>
      <c r="G10" s="9" t="inlineStr">
        <is>
          <t>Calle Larios 14</t>
        </is>
      </c>
      <c r="H10" s="9" t="inlineStr">
        <is>
          <t>Málaga</t>
        </is>
      </c>
      <c r="I10" s="9" t="inlineStr">
        <is>
          <t>Málaga</t>
        </is>
      </c>
      <c r="J10" s="9" t="inlineStr">
        <is>
          <t>9012345MQ3345N0008OP</t>
        </is>
      </c>
      <c r="K10" s="9" t="inlineStr">
        <is>
          <t>Vivienda habitual</t>
        </is>
      </c>
      <c r="L10" s="9" t="inlineStr">
        <is>
          <t>-</t>
        </is>
      </c>
      <c r="M10" s="30" t="n">
        <v>135000</v>
      </c>
      <c r="N10" s="30" t="n">
        <v>7100</v>
      </c>
      <c r="O10" s="30" t="n">
        <v>240000</v>
      </c>
      <c r="P10" s="30" t="n">
        <v>8600</v>
      </c>
      <c r="Q10" s="11">
        <f>DATEDIF(B10,C10,"Y")</f>
        <v/>
      </c>
      <c r="R10" s="34">
        <f>MAX(0,O10-(M10+N10))</f>
        <v/>
      </c>
      <c r="S10" s="34">
        <f>IF(B10&lt;DATE(1994,12,31),ROUND(R10*MIN(1,X10*0.1111),2),0)</f>
        <v/>
      </c>
      <c r="T10" s="34">
        <f>MIN(R10,S10)</f>
        <v/>
      </c>
      <c r="U10" s="34">
        <f>R10-T10</f>
        <v/>
      </c>
      <c r="V10" s="35">
        <f>IF(R10=0,0,T10/R10)</f>
        <v/>
      </c>
      <c r="W10" s="9" t="inlineStr">
        <is>
          <t>Compra posterior a 1994, no aplica abatimiento</t>
        </is>
      </c>
      <c r="X10" s="11">
        <f>IF(B10&lt;DATE(1994,12,31),DATEDIF(B10,DATE(2006,1,19),"Y"),0)</f>
        <v/>
      </c>
    </row>
    <row r="11">
      <c r="A11" s="3" t="inlineStr">
        <is>
          <t>OP-2026-009</t>
        </is>
      </c>
      <c r="B11" s="29" t="n">
        <v>33363</v>
      </c>
      <c r="C11" s="29" t="n">
        <v>46132</v>
      </c>
      <c r="D11" s="3" t="inlineStr">
        <is>
          <t>Antonio López</t>
        </is>
      </c>
      <c r="E11" s="3" t="inlineStr">
        <is>
          <t>23456789X</t>
        </is>
      </c>
      <c r="F11" s="3" t="inlineStr">
        <is>
          <t>Local comercial Diagonal</t>
        </is>
      </c>
      <c r="G11" s="3" t="inlineStr">
        <is>
          <t>Av. Diagonal 405 - Local</t>
        </is>
      </c>
      <c r="H11" s="3" t="inlineStr">
        <is>
          <t>Barcelona</t>
        </is>
      </c>
      <c r="I11" s="3" t="inlineStr">
        <is>
          <t>Barcelona</t>
        </is>
      </c>
      <c r="J11" s="3" t="inlineStr">
        <is>
          <t>1122334VH5813N0009QR</t>
        </is>
      </c>
      <c r="K11" s="3" t="inlineStr">
        <is>
          <t>Inmueble SL patrimonial</t>
        </is>
      </c>
      <c r="L11" s="3" t="inlineStr">
        <is>
          <t>Sociedad patrimonial (SL)</t>
        </is>
      </c>
      <c r="M11" s="30" t="n">
        <v>200000</v>
      </c>
      <c r="N11" s="30" t="n">
        <v>11000</v>
      </c>
      <c r="O11" s="30" t="n">
        <v>610000</v>
      </c>
      <c r="P11" s="30" t="n">
        <v>21000</v>
      </c>
      <c r="Q11" s="6">
        <f>DATEDIF(B11,C11,"Y")</f>
        <v/>
      </c>
      <c r="R11" s="31">
        <f>MAX(0,O11-(M11+N11))</f>
        <v/>
      </c>
      <c r="S11" s="31">
        <f>IF(B11&lt;DATE(1994,12,31),ROUND(R11*MIN(1,X11*0.1111),2),0)</f>
        <v/>
      </c>
      <c r="T11" s="31">
        <f>MIN(R11,S11)</f>
        <v/>
      </c>
      <c r="U11" s="31">
        <f>R11-T11</f>
        <v/>
      </c>
      <c r="V11" s="32">
        <f>IF(R11=0,0,T11/R11)</f>
        <v/>
      </c>
      <c r="W11" s="3" t="inlineStr">
        <is>
          <t>Titularidad de sociedad patrimonial (SL)</t>
        </is>
      </c>
      <c r="X11" s="6">
        <f>IF(B11&lt;DATE(1994,12,31),DATEDIF(B11,DATE(2006,1,19),"Y"),0)</f>
        <v/>
      </c>
    </row>
  </sheetData>
  <mergeCells count="1">
    <mergeCell ref="A1:X1"/>
  </mergeCells>
  <conditionalFormatting sqref="U3:U11">
    <cfRule type="cellIs" priority="1" operator="greaterThan" dxfId="0">
      <formula>0</formula>
    </cfRule>
    <cfRule type="cellIs" priority="2" operator="lessThan" dxfId="1">
      <formula>0</formula>
    </cfRule>
  </conditionalFormatting>
  <dataValidations count="1">
    <dataValidation sqref="K3:K11" showErrorMessage="1" showInputMessage="1" allowBlank="1" type="list">
      <formula1>"Vivienda habitual,Segunda residencia,Local comercial,Inmueble SL patrimonial,Otro"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6" customWidth="1" min="3" max="3"/>
    <col width="18" customWidth="1" min="4" max="4"/>
    <col width="16" customWidth="1" min="5" max="5"/>
    <col width="18" customWidth="1" min="6" max="6"/>
    <col width="18" customWidth="1" min="7" max="7"/>
    <col width="30" customWidth="1" min="8" max="8"/>
    <col width="18" customWidth="1" min="9" max="9"/>
    <col width="18" customWidth="1" min="10" max="10"/>
    <col width="24" customWidth="1" min="11" max="11"/>
    <col width="34" customWidth="1" min="12" max="12"/>
  </cols>
  <sheetData>
    <row r="1" ht="26" customHeight="1">
      <c r="A1" s="1" t="inlineStr">
        <is>
          <t>SIMULADOR FISCAL POR OPERACIÓN</t>
        </is>
      </c>
    </row>
    <row r="2" ht="34" customHeight="1">
      <c r="A2" s="14" t="inlineStr">
        <is>
          <t>ID operación</t>
        </is>
      </c>
      <c r="B2" s="14" t="inlineStr">
        <is>
          <t>Inmueble</t>
        </is>
      </c>
      <c r="C2" s="14" t="inlineStr">
        <is>
          <t>Ganancia bruta (€)</t>
        </is>
      </c>
      <c r="D2" s="14" t="inlineStr">
        <is>
          <t>Abatimiento estimado (€)</t>
        </is>
      </c>
      <c r="E2" s="14" t="inlineStr">
        <is>
          <t>Ganancia neta (€)</t>
        </is>
      </c>
      <c r="F2" s="14" t="inlineStr">
        <is>
          <t>Tipo impositivo estimado (%)</t>
        </is>
      </c>
      <c r="G2" s="14" t="inlineStr">
        <is>
          <t>Cuota estimada IRPF (€)</t>
        </is>
      </c>
      <c r="H2" s="14" t="inlineStr">
        <is>
          <t>Exención por reinversión vivienda habitual</t>
        </is>
      </c>
      <c r="I2" s="14" t="inlineStr">
        <is>
          <t>Base sujeta a tributación (€)</t>
        </is>
      </c>
      <c r="J2" s="14" t="inlineStr">
        <is>
          <t>Ahorro fiscal estimado (€)</t>
        </is>
      </c>
      <c r="K2" s="14" t="inlineStr">
        <is>
          <t>Estado fiscal</t>
        </is>
      </c>
      <c r="L2" s="14" t="inlineStr">
        <is>
          <t>Comentarios</t>
        </is>
      </c>
    </row>
    <row r="3">
      <c r="A3" s="3" t="inlineStr">
        <is>
          <t>OP-2026-001</t>
        </is>
      </c>
      <c r="B3" s="3">
        <f>IFERROR(VLOOKUP(A3,Operaciones!$A:$X,6,0),"")</f>
        <v/>
      </c>
      <c r="C3" s="31">
        <f>IFERROR(VLOOKUP(A3,Operaciones!$A:$X,18,0),0)</f>
        <v/>
      </c>
      <c r="D3" s="31">
        <f>IFERROR(VLOOKUP(A3,Operaciones!$A:$X,20,0),0)</f>
        <v/>
      </c>
      <c r="E3" s="31">
        <f>IFERROR(VLOOKUP(A3,Operaciones!$A:$X,21,0),0)</f>
        <v/>
      </c>
      <c r="F3" s="36" t="n">
        <v>0.19</v>
      </c>
      <c r="G3" s="31">
        <f>E3*F3</f>
        <v/>
      </c>
      <c r="H3" s="16" t="inlineStr">
        <is>
          <t>Sí</t>
        </is>
      </c>
      <c r="I3" s="31">
        <f>IF(H3="Sí",0,E3)</f>
        <v/>
      </c>
      <c r="J3" s="31">
        <f>C3-G3</f>
        <v/>
      </c>
      <c r="K3" s="3">
        <f>IF(E3=0,"Sin ganancia",IF(H3="Sí","Exenta por reinversión","Tributa con abatimiento"))</f>
        <v/>
      </c>
      <c r="L3" s="3" t="inlineStr">
        <is>
          <t>Reinversión en nueva vivienda habitual</t>
        </is>
      </c>
    </row>
    <row r="4">
      <c r="A4" s="9" t="inlineStr">
        <is>
          <t>OP-2026-002</t>
        </is>
      </c>
      <c r="B4" s="9">
        <f>IFERROR(VLOOKUP(A4,Operaciones!$A:$X,6,0),"")</f>
        <v/>
      </c>
      <c r="C4" s="34">
        <f>IFERROR(VLOOKUP(A4,Operaciones!$A:$X,18,0),0)</f>
        <v/>
      </c>
      <c r="D4" s="34">
        <f>IFERROR(VLOOKUP(A4,Operaciones!$A:$X,20,0),0)</f>
        <v/>
      </c>
      <c r="E4" s="34">
        <f>IFERROR(VLOOKUP(A4,Operaciones!$A:$X,21,0),0)</f>
        <v/>
      </c>
      <c r="F4" s="36" t="n">
        <v>0.21</v>
      </c>
      <c r="G4" s="34">
        <f>E4*F4</f>
        <v/>
      </c>
      <c r="H4" s="16" t="inlineStr">
        <is>
          <t>No</t>
        </is>
      </c>
      <c r="I4" s="34">
        <f>IF(H4="Sí",0,E4)</f>
        <v/>
      </c>
      <c r="J4" s="34">
        <f>C4-G4</f>
        <v/>
      </c>
      <c r="K4" s="9">
        <f>IF(E4=0,"Sin ganancia",IF(H4="Sí","Exenta por reinversión","Tributa con abatimiento"))</f>
        <v/>
      </c>
      <c r="L4" s="9" t="inlineStr">
        <is>
          <t>Segunda residencia, tributa íntegramente</t>
        </is>
      </c>
    </row>
    <row r="5">
      <c r="A5" s="3" t="inlineStr">
        <is>
          <t>OP-2026-003</t>
        </is>
      </c>
      <c r="B5" s="3">
        <f>IFERROR(VLOOKUP(A5,Operaciones!$A:$X,6,0),"")</f>
        <v/>
      </c>
      <c r="C5" s="31">
        <f>IFERROR(VLOOKUP(A5,Operaciones!$A:$X,18,0),0)</f>
        <v/>
      </c>
      <c r="D5" s="31">
        <f>IFERROR(VLOOKUP(A5,Operaciones!$A:$X,20,0),0)</f>
        <v/>
      </c>
      <c r="E5" s="31">
        <f>IFERROR(VLOOKUP(A5,Operaciones!$A:$X,21,0),0)</f>
        <v/>
      </c>
      <c r="F5" s="36" t="n">
        <v>0.23</v>
      </c>
      <c r="G5" s="31">
        <f>E5*F5</f>
        <v/>
      </c>
      <c r="H5" s="16" t="inlineStr">
        <is>
          <t>No</t>
        </is>
      </c>
      <c r="I5" s="31">
        <f>IF(H5="Sí",0,E5)</f>
        <v/>
      </c>
      <c r="J5" s="31">
        <f>C5-G5</f>
        <v/>
      </c>
      <c r="K5" s="3">
        <f>IF(E5=0,"Sin ganancia",IF(H5="Sí","Exenta por reinversión","Tributa con abatimiento"))</f>
        <v/>
      </c>
      <c r="L5" s="3" t="inlineStr">
        <is>
          <t>Compra posterior a 1994, sin abatimiento</t>
        </is>
      </c>
    </row>
    <row r="6">
      <c r="A6" s="9" t="inlineStr">
        <is>
          <t>OP-2026-004</t>
        </is>
      </c>
      <c r="B6" s="9">
        <f>IFERROR(VLOOKUP(A6,Operaciones!$A:$X,6,0),"")</f>
        <v/>
      </c>
      <c r="C6" s="34">
        <f>IFERROR(VLOOKUP(A6,Operaciones!$A:$X,18,0),0)</f>
        <v/>
      </c>
      <c r="D6" s="34">
        <f>IFERROR(VLOOKUP(A6,Operaciones!$A:$X,20,0),0)</f>
        <v/>
      </c>
      <c r="E6" s="34">
        <f>IFERROR(VLOOKUP(A6,Operaciones!$A:$X,21,0),0)</f>
        <v/>
      </c>
      <c r="F6" s="36" t="n">
        <v>0.19</v>
      </c>
      <c r="G6" s="34">
        <f>E6*F6</f>
        <v/>
      </c>
      <c r="H6" s="16" t="inlineStr">
        <is>
          <t>No</t>
        </is>
      </c>
      <c r="I6" s="34">
        <f>IF(H6="Sí",0,E6)</f>
        <v/>
      </c>
      <c r="J6" s="34">
        <f>C6-G6</f>
        <v/>
      </c>
      <c r="K6" s="9">
        <f>IF(E6=0,"Sin ganancia",IF(H6="Sí","Exenta por reinversión","Tributa con abatimiento"))</f>
        <v/>
      </c>
      <c r="L6" s="9" t="inlineStr">
        <is>
          <t>Segunda residencia con largo periodo de tenencia</t>
        </is>
      </c>
    </row>
    <row r="7">
      <c r="A7" s="3" t="inlineStr">
        <is>
          <t>OP-2026-005</t>
        </is>
      </c>
      <c r="B7" s="3">
        <f>IFERROR(VLOOKUP(A7,Operaciones!$A:$X,6,0),"")</f>
        <v/>
      </c>
      <c r="C7" s="31">
        <f>IFERROR(VLOOKUP(A7,Operaciones!$A:$X,18,0),0)</f>
        <v/>
      </c>
      <c r="D7" s="31">
        <f>IFERROR(VLOOKUP(A7,Operaciones!$A:$X,20,0),0)</f>
        <v/>
      </c>
      <c r="E7" s="31">
        <f>IFERROR(VLOOKUP(A7,Operaciones!$A:$X,21,0),0)</f>
        <v/>
      </c>
      <c r="F7" s="36" t="n">
        <v>0.25</v>
      </c>
      <c r="G7" s="31">
        <f>E7*F7</f>
        <v/>
      </c>
      <c r="H7" s="16" t="inlineStr">
        <is>
          <t>No</t>
        </is>
      </c>
      <c r="I7" s="31">
        <f>IF(H7="Sí",0,E7)</f>
        <v/>
      </c>
      <c r="J7" s="31">
        <f>C7-G7</f>
        <v/>
      </c>
      <c r="K7" s="3">
        <f>IF(E7=0,"Sin ganancia",IF(H7="Sí","Exenta por reinversión","Tributa con abatimiento"))</f>
        <v/>
      </c>
      <c r="L7" s="3" t="inlineStr">
        <is>
          <t>Sociedad patrimonial, revisar régimen del Impuesto de Sociedades</t>
        </is>
      </c>
    </row>
    <row r="8">
      <c r="A8" s="9" t="inlineStr">
        <is>
          <t>OP-2026-006</t>
        </is>
      </c>
      <c r="B8" s="9">
        <f>IFERROR(VLOOKUP(A8,Operaciones!$A:$X,6,0),"")</f>
        <v/>
      </c>
      <c r="C8" s="34">
        <f>IFERROR(VLOOKUP(A8,Operaciones!$A:$X,18,0),0)</f>
        <v/>
      </c>
      <c r="D8" s="34">
        <f>IFERROR(VLOOKUP(A8,Operaciones!$A:$X,20,0),0)</f>
        <v/>
      </c>
      <c r="E8" s="34">
        <f>IFERROR(VLOOKUP(A8,Operaciones!$A:$X,21,0),0)</f>
        <v/>
      </c>
      <c r="F8" s="36" t="n">
        <v>0.19</v>
      </c>
      <c r="G8" s="34">
        <f>E8*F8</f>
        <v/>
      </c>
      <c r="H8" s="16" t="inlineStr">
        <is>
          <t>No</t>
        </is>
      </c>
      <c r="I8" s="34">
        <f>IF(H8="Sí",0,E8)</f>
        <v/>
      </c>
      <c r="J8" s="34">
        <f>C8-G8</f>
        <v/>
      </c>
      <c r="K8" s="9">
        <f>IF(E8=0,"Sin ganancia",IF(H8="Sí","Exenta por reinversión","Tributa con abatimiento"))</f>
        <v/>
      </c>
      <c r="L8" s="9" t="inlineStr">
        <is>
          <t>Vivienda habitual sin reinversión</t>
        </is>
      </c>
    </row>
    <row r="9">
      <c r="A9" s="3" t="inlineStr">
        <is>
          <t>OP-2026-007</t>
        </is>
      </c>
      <c r="B9" s="3">
        <f>IFERROR(VLOOKUP(A9,Operaciones!$A:$X,6,0),"")</f>
        <v/>
      </c>
      <c r="C9" s="31">
        <f>IFERROR(VLOOKUP(A9,Operaciones!$A:$X,18,0),0)</f>
        <v/>
      </c>
      <c r="D9" s="31">
        <f>IFERROR(VLOOKUP(A9,Operaciones!$A:$X,20,0),0)</f>
        <v/>
      </c>
      <c r="E9" s="31">
        <f>IFERROR(VLOOKUP(A9,Operaciones!$A:$X,21,0),0)</f>
        <v/>
      </c>
      <c r="F9" s="36" t="n">
        <v>0.21</v>
      </c>
      <c r="G9" s="31">
        <f>E9*F9</f>
        <v/>
      </c>
      <c r="H9" s="16" t="inlineStr">
        <is>
          <t>No</t>
        </is>
      </c>
      <c r="I9" s="31">
        <f>IF(H9="Sí",0,E9)</f>
        <v/>
      </c>
      <c r="J9" s="31">
        <f>C9-G9</f>
        <v/>
      </c>
      <c r="K9" s="3">
        <f>IF(E9=0,"Sin ganancia",IF(H9="Sí","Exenta por reinversión","Tributa con abatimiento"))</f>
        <v/>
      </c>
      <c r="L9" s="3" t="inlineStr">
        <is>
          <t>Elevado abatimiento por antigüedad de compra</t>
        </is>
      </c>
    </row>
    <row r="10">
      <c r="A10" s="9" t="inlineStr">
        <is>
          <t>OP-2026-008</t>
        </is>
      </c>
      <c r="B10" s="9">
        <f>IFERROR(VLOOKUP(A10,Operaciones!$A:$X,6,0),"")</f>
        <v/>
      </c>
      <c r="C10" s="34">
        <f>IFERROR(VLOOKUP(A10,Operaciones!$A:$X,18,0),0)</f>
        <v/>
      </c>
      <c r="D10" s="34">
        <f>IFERROR(VLOOKUP(A10,Operaciones!$A:$X,20,0),0)</f>
        <v/>
      </c>
      <c r="E10" s="34">
        <f>IFERROR(VLOOKUP(A10,Operaciones!$A:$X,21,0),0)</f>
        <v/>
      </c>
      <c r="F10" s="36" t="n">
        <v>0.19</v>
      </c>
      <c r="G10" s="34">
        <f>E10*F10</f>
        <v/>
      </c>
      <c r="H10" s="16" t="inlineStr">
        <is>
          <t>Sí</t>
        </is>
      </c>
      <c r="I10" s="34">
        <f>IF(H10="Sí",0,E10)</f>
        <v/>
      </c>
      <c r="J10" s="34">
        <f>C10-G10</f>
        <v/>
      </c>
      <c r="K10" s="9">
        <f>IF(E10=0,"Sin ganancia",IF(H10="Sí","Exenta por reinversión","Tributa con abatimiento"))</f>
        <v/>
      </c>
      <c r="L10" s="9" t="inlineStr">
        <is>
          <t>Reinversión parcial en vivienda habitual</t>
        </is>
      </c>
    </row>
    <row r="11">
      <c r="A11" s="3" t="inlineStr">
        <is>
          <t>OP-2026-009</t>
        </is>
      </c>
      <c r="B11" s="3">
        <f>IFERROR(VLOOKUP(A11,Operaciones!$A:$X,6,0),"")</f>
        <v/>
      </c>
      <c r="C11" s="31">
        <f>IFERROR(VLOOKUP(A11,Operaciones!$A:$X,18,0),0)</f>
        <v/>
      </c>
      <c r="D11" s="31">
        <f>IFERROR(VLOOKUP(A11,Operaciones!$A:$X,20,0),0)</f>
        <v/>
      </c>
      <c r="E11" s="31">
        <f>IFERROR(VLOOKUP(A11,Operaciones!$A:$X,21,0),0)</f>
        <v/>
      </c>
      <c r="F11" s="36" t="n">
        <v>0.25</v>
      </c>
      <c r="G11" s="31">
        <f>E11*F11</f>
        <v/>
      </c>
      <c r="H11" s="16" t="inlineStr">
        <is>
          <t>No</t>
        </is>
      </c>
      <c r="I11" s="31">
        <f>IF(H11="Sí",0,E11)</f>
        <v/>
      </c>
      <c r="J11" s="31">
        <f>C11-G11</f>
        <v/>
      </c>
      <c r="K11" s="3">
        <f>IF(E11=0,"Sin ganancia",IF(H11="Sí","Exenta por reinversión","Tributa con abatimiento"))</f>
        <v/>
      </c>
      <c r="L11" s="3" t="inlineStr">
        <is>
          <t>Sociedad patrimonial (SL)</t>
        </is>
      </c>
    </row>
    <row r="12"/>
    <row r="13">
      <c r="A13" s="17" t="inlineStr">
        <is>
          <t>Nº operaciones con abatimiento aplicado:</t>
        </is>
      </c>
      <c r="D13" s="18">
        <f>COUNTIF(D3:D11,"&gt;0")</f>
        <v/>
      </c>
    </row>
  </sheetData>
  <mergeCells count="1">
    <mergeCell ref="A1:L1"/>
  </mergeCells>
  <conditionalFormatting sqref="J3:J11">
    <cfRule type="cellIs" priority="1" operator="greaterThan" dxfId="0">
      <formula>0</formula>
    </cfRule>
    <cfRule type="cellIs" priority="2" operator="lessThan" dxfId="1">
      <formula>0</formula>
    </cfRule>
  </conditionalFormatting>
  <dataValidations count="1">
    <dataValidation sqref="H3:H11" showErrorMessage="1" showInputMessage="1" allowBlank="1" type="list">
      <formula1>"Sí,No"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</cols>
  <sheetData>
    <row r="1" ht="26" customHeight="1">
      <c r="A1" s="1" t="inlineStr">
        <is>
          <t>PANEL EJECUTIVO – COEFICIENTES DE ABATIMIENTO</t>
        </is>
      </c>
    </row>
    <row r="2"/>
    <row r="3">
      <c r="A3" s="19" t="inlineStr">
        <is>
          <t>INDICADORES CLAVE (KPI)</t>
        </is>
      </c>
    </row>
    <row r="4">
      <c r="A4" s="20" t="inlineStr">
        <is>
          <t>Nº total de operaciones</t>
        </is>
      </c>
      <c r="B4" s="21">
        <f>COUNTA(Operaciones!A3:A11)</f>
        <v/>
      </c>
    </row>
    <row r="5">
      <c r="A5" s="22" t="inlineStr">
        <is>
          <t>Ganancia bruta total (€)</t>
        </is>
      </c>
      <c r="B5" s="37">
        <f>SUM(Operaciones!R3:R11)</f>
        <v/>
      </c>
    </row>
    <row r="6">
      <c r="A6" s="20" t="inlineStr">
        <is>
          <t>Abatimiento total aplicado (€)</t>
        </is>
      </c>
      <c r="B6" s="37">
        <f>SUM(Operaciones!T3:T11)</f>
        <v/>
      </c>
    </row>
    <row r="7">
      <c r="A7" s="22" t="inlineStr">
        <is>
          <t>Ganancia neta total (€)</t>
        </is>
      </c>
      <c r="B7" s="37">
        <f>SUM(Operaciones!U3:U11)</f>
        <v/>
      </c>
    </row>
    <row r="8">
      <c r="A8" s="20" t="inlineStr">
        <is>
          <t>% medio de reducción</t>
        </is>
      </c>
      <c r="B8" s="38">
        <f>IFERROR(AVERAGE(Operaciones!V3:V11),0)</f>
        <v/>
      </c>
    </row>
    <row r="9">
      <c r="A9" s="22" t="inlineStr">
        <is>
          <t>Nº operaciones con exención por reinversión</t>
        </is>
      </c>
      <c r="B9" s="21">
        <f>COUNTIF('Cálculo Fiscal'!H3:H11,"Sí")</f>
        <v/>
      </c>
    </row>
    <row r="10">
      <c r="A10" s="20" t="inlineStr">
        <is>
          <t>Nº inmuebles con ganancia positiva</t>
        </is>
      </c>
      <c r="B10" s="21">
        <f>COUNTIF(Operaciones!U3:U11,"&gt;0")</f>
        <v/>
      </c>
    </row>
    <row r="11"/>
    <row r="12">
      <c r="A12" s="19" t="inlineStr">
        <is>
          <t>REPARTO DE OPERACIONES</t>
        </is>
      </c>
    </row>
    <row r="13">
      <c r="A13" s="3" t="inlineStr">
        <is>
          <t>Con abatimiento</t>
        </is>
      </c>
      <c r="B13" s="25">
        <f>COUNTIF(Operaciones!T3:T11,"&gt;0")</f>
        <v/>
      </c>
    </row>
    <row r="14">
      <c r="A14" s="9" t="inlineStr">
        <is>
          <t>Sin abatimiento</t>
        </is>
      </c>
      <c r="B14" s="25">
        <f>COUNTIFS(Operaciones!T3:T11,0,Operaciones!U3:U11,"&gt;0")</f>
        <v/>
      </c>
    </row>
    <row r="15">
      <c r="A15" s="3" t="inlineStr">
        <is>
          <t>Exenta por reinversión</t>
        </is>
      </c>
      <c r="B15" s="25">
        <f>COUNTIF('Cálculo Fiscal'!H3:H11,"Sí")</f>
        <v/>
      </c>
    </row>
  </sheetData>
  <mergeCells count="3">
    <mergeCell ref="A1:F1"/>
    <mergeCell ref="A3:B3"/>
    <mergeCell ref="A12:B12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0" customWidth="1" min="1" max="1"/>
    <col width="95" customWidth="1" min="2" max="2"/>
  </cols>
  <sheetData>
    <row r="1" ht="26" customHeight="1">
      <c r="A1" s="1" t="inlineStr">
        <is>
          <t>INSTRUCCIONES DE USO</t>
        </is>
      </c>
    </row>
    <row r="2"/>
    <row r="3" ht="46" customHeight="1">
      <c r="A3" s="26" t="inlineStr">
        <is>
          <t>Hoja Operaciones</t>
        </is>
      </c>
      <c r="B3" s="27" t="inlineStr">
        <is>
          <t>Introduzca los datos de cada venta: fechas de compra y venta en formato DD/MM/AAAA, valores de adquisición y transmisión, gastos deducibles y datos identificativos del vendedor e inmueble. Las columnas Q a V y X se calculan automáticamente.</t>
        </is>
      </c>
    </row>
    <row r="4" ht="46" customHeight="1">
      <c r="A4" s="26" t="inlineStr">
        <is>
          <t>Fechas y valores</t>
        </is>
      </c>
      <c r="B4" s="28" t="inlineStr">
        <is>
          <t>Las fechas deben introducirse como fecha real de Excel (no texto) para que funcionen DATEDIF y las comparaciones con 31/12/1994. Los importes se introducen sin símbolo €, el formato los muestra en euros con coma decimal.</t>
        </is>
      </c>
    </row>
    <row r="5" ht="46" customHeight="1">
      <c r="A5" s="26" t="inlineStr">
        <is>
          <t>Operaciones con abatimiento</t>
        </is>
      </c>
      <c r="B5" s="27" t="inlineStr">
        <is>
          <t>Solo las viviendas adquiridas antes del 31/12/1994 pueden acogerse a los coeficientes de abatimiento, y únicamente sobre la parte de la ganancia generada hasta el 19/01/2006. El modelo usa una columna auxiliar (X) para aproximar dicho periodo.</t>
        </is>
      </c>
    </row>
    <row r="6" ht="46" customHeight="1">
      <c r="A6" s="26" t="inlineStr">
        <is>
          <t>Límites y periodos de tenencia</t>
        </is>
      </c>
      <c r="B6" s="28" t="inlineStr">
        <is>
          <t>El coeficiente aplicado depende de los años de tenencia anteriores a 31/12/1996 y del tipo de bien transmitido. El límite conjunto de valor de transmisión para poder aplicar abatimiento está sujeto a la normativa vigente; revise siempre el importe acumulado en transmisiones desde el 1 de enero de 2015.</t>
        </is>
      </c>
    </row>
    <row r="7" ht="46" customHeight="1">
      <c r="A7" s="26" t="inlineStr">
        <is>
          <t>Reinversión en vivienda habitual</t>
        </is>
      </c>
      <c r="B7" s="27" t="inlineStr">
        <is>
          <t>Si el importe obtenido se reinvierte en la compra de una nueva vivienda habitual en el plazo legal, la ganancia puede quedar exenta total o parcialmente. Márquelo en la hoja Cálculo Fiscal, columna 'Exención por reinversión'.</t>
        </is>
      </c>
    </row>
    <row r="8" ht="46" customHeight="1">
      <c r="A8" s="26" t="inlineStr">
        <is>
          <t>Referencia catastral, IBI y gastos deducibles</t>
        </is>
      </c>
      <c r="B8" s="28" t="inlineStr">
        <is>
          <t>Conserve la referencia catastral y los recibos de IBI, notaría, registro, gastos de agencia y mejoras, ya que forman parte del valor de adquisición o transmisión y reducen la ganancia patrimonial.</t>
        </is>
      </c>
    </row>
    <row r="9" ht="46" customHeight="1">
      <c r="A9" s="26" t="inlineStr">
        <is>
          <t>Hoja Cálculo Fiscal</t>
        </is>
      </c>
      <c r="B9" s="27" t="inlineStr">
        <is>
          <t>Simula la tributación de cada operación a partir de los datos de Operaciones mediante VLOOKUP. Introduzca el tipo impositivo estimado y si existe exención por reinversión.</t>
        </is>
      </c>
    </row>
    <row r="10" ht="46" customHeight="1">
      <c r="A10" s="26" t="inlineStr">
        <is>
          <t>Hoja Resumen</t>
        </is>
      </c>
      <c r="B10" s="28" t="inlineStr">
        <is>
          <t>Panel con KPI y gráficos agregados: ganancia bruta y neta totales, abatimiento aplicado, porcentaje medio de reducción y reparto de operaciones por tipo de tratamiento fiscal.</t>
        </is>
      </c>
    </row>
    <row r="11" ht="46" customHeight="1">
      <c r="A11" s="26" t="inlineStr">
        <is>
          <t>Revisión con asesor fiscal</t>
        </is>
      </c>
      <c r="B11" s="27" t="inlineStr">
        <is>
          <t>Este archivo es una herramienta de apoyo y simulación. Antes de presentar la declaración de IRPF, revise siempre los cálculos y la normativa aplicable con un asesor fiscal colegiado, especialmente en operaciones de sociedades patrimoniales (SL).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2026-07-14T04:20:16Z</dcterms:created>
  <dcterms:modified xmlns:dcterms="http://purl.org/dc/terms/" xmlns:xsi="http://www.w3.org/2001/XMLSchema-instance" xsi:type="dcterms:W3CDTF">2026-07-14T04:20:16Z</dcterms:modified>
</cp:coreProperties>
</file>