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tradas_Operaciones" sheetId="1" state="visible" r:id="rId1"/>
    <sheet xmlns:r="http://schemas.openxmlformats.org/officeDocument/2006/relationships" name="Cálculo_Plusvalía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ccion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.##0,00 &quot;€&quot;"/>
    <numFmt numFmtId="166" formatCode="0,00%"/>
  </numFmts>
  <fonts count="8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C8102E"/>
      <sz val="11"/>
    </font>
    <font>
      <name val="Calibri"/>
      <b val="1"/>
      <color rgb="00FFFFFF"/>
      <sz val="11"/>
    </font>
    <font>
      <b val="1"/>
      <color rgb="00C8102E"/>
    </font>
    <font>
      <b val="1"/>
    </font>
    <font>
      <b val="1"/>
      <color rgb="0016A34A"/>
      <sz val="13"/>
    </font>
    <font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0FDFA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9" fontId="0" fillId="4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164" fontId="0" fillId="5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9" fontId="0" fillId="3" borderId="1" applyAlignment="1" pivotButton="0" quotePrefix="0" xfId="0">
      <alignment horizontal="center" vertical="center" wrapText="1"/>
    </xf>
    <xf numFmtId="1" fontId="0" fillId="3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9" fontId="0" fillId="5" borderId="1" applyAlignment="1" pivotButton="0" quotePrefix="0" xfId="0">
      <alignment horizontal="center" vertical="center" wrapText="1"/>
    </xf>
    <xf numFmtId="1" fontId="0" fillId="5" borderId="1" applyAlignment="1" pivotButton="0" quotePrefix="0" xfId="0">
      <alignment horizontal="center" vertical="center" wrapText="1"/>
    </xf>
    <xf numFmtId="0" fontId="4" fillId="0" borderId="0" pivotButton="0" quotePrefix="0" xfId="0"/>
    <xf numFmtId="165" fontId="5" fillId="0" borderId="1" pivotButton="0" quotePrefix="0" xfId="0"/>
    <xf numFmtId="0" fontId="5" fillId="6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6" fillId="6" borderId="1" applyAlignment="1" pivotButton="0" quotePrefix="0" xfId="0">
      <alignment horizontal="center" vertical="center" wrapText="1"/>
    </xf>
    <xf numFmtId="165" fontId="6" fillId="6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0" borderId="0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165" fontId="5" fillId="0" borderId="1" pivotButton="0" quotePrefix="0" xfId="0"/>
    <xf numFmtId="165" fontId="6" fillId="6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Cuota final de plusvalía por vendedor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'Cálculo_Plusvalía'!W3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'Cálculo_Plusvalía'!$C$4:$C$13</f>
            </numRef>
          </cat>
          <val>
            <numRef>
              <f>'Cálculo_Plusvalía'!$W$4:$W$13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Vendedor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Cuota final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Distribución: A pagar vs No sujeta / Exenta</a:t>
            </a:r>
          </a:p>
        </rich>
      </tx>
    </title>
    <plotArea>
      <pieChart>
        <varyColors val="1"/>
        <ser>
          <idx val="0"/>
          <order val="0"/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'Dashboard'!$A$12:$A$13</f>
            </numRef>
          </cat>
          <val>
            <numRef>
              <f>'Dashboard'!$B$12:$B$13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Evolución de la cuota final por fecha de venta</a:t>
            </a:r>
          </a:p>
        </rich>
      </tx>
    </title>
    <plotArea>
      <lineChart>
        <grouping val="standard"/>
        <ser>
          <idx val="0"/>
          <order val="0"/>
          <tx>
            <strRef>
              <f>'Cálculo_Plusvalía'!W3</f>
            </strRef>
          </tx>
          <spPr>
            <a:ln xmlns:a="http://schemas.openxmlformats.org/drawingml/2006/main" w="20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'Cálculo_Plusvalía'!$E$4:$E$13</f>
            </numRef>
          </cat>
          <val>
            <numRef>
              <f>'Cálculo_Plusvalía'!$W$4:$W$13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Fecha de venta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Cuota final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15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15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33</row>
      <rowOff>0</rowOff>
    </from>
    <ext cx="648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13" customWidth="1" min="2" max="2"/>
    <col width="13" customWidth="1" min="3" max="3"/>
    <col width="18" customWidth="1" min="4" max="4"/>
    <col width="12" customWidth="1" min="5" max="5"/>
    <col width="12" customWidth="1" min="6" max="6"/>
    <col width="12" customWidth="1" min="7" max="7"/>
    <col width="30" customWidth="1" min="8" max="8"/>
    <col width="22" customWidth="1" min="9" max="9"/>
    <col width="18" customWidth="1" min="10" max="10"/>
    <col width="16" customWidth="1" min="11" max="11"/>
    <col width="18" customWidth="1" min="12" max="12"/>
    <col width="16" customWidth="1" min="13" max="13"/>
    <col width="18" customWidth="1" min="14" max="14"/>
    <col width="14" customWidth="1" min="15" max="15"/>
    <col width="14" customWidth="1" min="16" max="16"/>
    <col width="13" customWidth="1" min="17" max="17"/>
    <col width="13" customWidth="1" min="18" max="18"/>
    <col width="14" customWidth="1" min="19" max="19"/>
    <col width="16" customWidth="1" min="20" max="20"/>
    <col width="14" customWidth="1" min="21" max="21"/>
    <col width="14" customWidth="1" min="22" max="22"/>
    <col width="30" customWidth="1" min="23" max="23"/>
  </cols>
  <sheetData>
    <row r="1" ht="26" customHeight="1">
      <c r="A1" s="1" t="inlineStr">
        <is>
          <t>CÁLCULO DE LA PLUSVALÍA MUNICIPAL AL VENDER (IIVTNU) - 2026</t>
        </is>
      </c>
    </row>
    <row r="2">
      <c r="A2" s="2" t="inlineStr">
        <is>
          <t>Introduzca los datos de cada operación de venta. Celdas en amarillo pálido son editables.</t>
        </is>
      </c>
    </row>
    <row r="3">
      <c r="A3" s="3" t="inlineStr">
        <is>
          <t>ID_Operacion</t>
        </is>
      </c>
      <c r="B3" s="3" t="inlineStr">
        <is>
          <t>Fecha_Compra</t>
        </is>
      </c>
      <c r="C3" s="3" t="inlineStr">
        <is>
          <t>Fecha_Venta</t>
        </is>
      </c>
      <c r="D3" s="3" t="inlineStr">
        <is>
          <t>Vendedor</t>
        </is>
      </c>
      <c r="E3" s="3" t="inlineStr">
        <is>
          <t>NIF</t>
        </is>
      </c>
      <c r="F3" s="3" t="inlineStr">
        <is>
          <t>Municipio</t>
        </is>
      </c>
      <c r="G3" s="3" t="inlineStr">
        <is>
          <t>Provincia</t>
        </is>
      </c>
      <c r="H3" s="3" t="inlineStr">
        <is>
          <t>Direccion_Inmueble</t>
        </is>
      </c>
      <c r="I3" s="3" t="inlineStr">
        <is>
          <t>Referencia_Catastral</t>
        </is>
      </c>
      <c r="J3" s="3" t="inlineStr">
        <is>
          <t>Tipo_Inmueble</t>
        </is>
      </c>
      <c r="K3" s="3" t="inlineStr">
        <is>
          <t>Valor_Catastral_Suelo_Compra</t>
        </is>
      </c>
      <c r="L3" s="3" t="inlineStr">
        <is>
          <t>Valor_Catastral_Construccion_Compra</t>
        </is>
      </c>
      <c r="M3" s="3" t="inlineStr">
        <is>
          <t>Valor_Catastral_Suelo_Venta</t>
        </is>
      </c>
      <c r="N3" s="3" t="inlineStr">
        <is>
          <t>Valor_Catastral_Construccion_Venta</t>
        </is>
      </c>
      <c r="O3" s="3" t="inlineStr">
        <is>
          <t>Precio_Compra</t>
        </is>
      </c>
      <c r="P3" s="3" t="inlineStr">
        <is>
          <t>Precio_Venta</t>
        </is>
      </c>
      <c r="Q3" s="3" t="inlineStr">
        <is>
          <t>Gastos_Compra</t>
        </is>
      </c>
      <c r="R3" s="3" t="inlineStr">
        <is>
          <t>Gastos_Venta</t>
        </is>
      </c>
      <c r="S3" s="3" t="inlineStr">
        <is>
          <t>Porcentaje_Propiedad</t>
        </is>
      </c>
      <c r="T3" s="3" t="inlineStr">
        <is>
          <t>Coeficiente_Municipal_2026</t>
        </is>
      </c>
      <c r="U3" s="3" t="inlineStr">
        <is>
          <t>Tipo_Impositivo_%</t>
        </is>
      </c>
      <c r="V3" s="3" t="inlineStr">
        <is>
          <t>Exencion_Alegada</t>
        </is>
      </c>
      <c r="W3" s="3" t="inlineStr">
        <is>
          <t>Observaciones</t>
        </is>
      </c>
    </row>
    <row r="4">
      <c r="A4" s="4" t="inlineStr">
        <is>
          <t>OP-2026-001</t>
        </is>
      </c>
      <c r="B4" s="31" t="n">
        <v>40252</v>
      </c>
      <c r="C4" s="31" t="n">
        <v>46032</v>
      </c>
      <c r="D4" s="4" t="inlineStr">
        <is>
          <t>María García</t>
        </is>
      </c>
      <c r="E4" s="4" t="inlineStr">
        <is>
          <t>12345678Z</t>
        </is>
      </c>
      <c r="F4" s="4" t="inlineStr">
        <is>
          <t>Madrid</t>
        </is>
      </c>
      <c r="G4" s="4" t="inlineStr">
        <is>
          <t>Madrid</t>
        </is>
      </c>
      <c r="H4" s="4" t="inlineStr">
        <is>
          <t>Calle Mayor 12 3ºB, Madrid</t>
        </is>
      </c>
      <c r="I4" s="4" t="inlineStr">
        <is>
          <t>9872023VK4797S0001WX</t>
        </is>
      </c>
      <c r="J4" s="4" t="inlineStr">
        <is>
          <t>Piso</t>
        </is>
      </c>
      <c r="K4" s="32" t="n">
        <v>60000</v>
      </c>
      <c r="L4" s="32" t="n">
        <v>90000</v>
      </c>
      <c r="M4" s="32" t="n">
        <v>95000</v>
      </c>
      <c r="N4" s="32" t="n">
        <v>140000</v>
      </c>
      <c r="O4" s="32" t="n">
        <v>180000</v>
      </c>
      <c r="P4" s="32" t="n">
        <v>320000</v>
      </c>
      <c r="Q4" s="32" t="n">
        <v>3500</v>
      </c>
      <c r="R4" s="32" t="n">
        <v>4200</v>
      </c>
      <c r="S4" s="7" t="n">
        <v>1</v>
      </c>
      <c r="T4" s="33" t="n">
        <v>0.031</v>
      </c>
      <c r="U4" s="7" t="n">
        <v>0.22</v>
      </c>
      <c r="V4" s="9" t="inlineStr">
        <is>
          <t>No</t>
        </is>
      </c>
      <c r="W4" s="4" t="inlineStr">
        <is>
          <t>Venta vivienda habitual</t>
        </is>
      </c>
    </row>
    <row r="5">
      <c r="A5" s="10" t="inlineStr">
        <is>
          <t>OP-2026-002</t>
        </is>
      </c>
      <c r="B5" s="34" t="n">
        <v>42177</v>
      </c>
      <c r="C5" s="34" t="n">
        <v>46058</v>
      </c>
      <c r="D5" s="10" t="inlineStr">
        <is>
          <t>Antonio López</t>
        </is>
      </c>
      <c r="E5" s="10" t="inlineStr">
        <is>
          <t>23456789X</t>
        </is>
      </c>
      <c r="F5" s="10" t="inlineStr">
        <is>
          <t>Barcelona</t>
        </is>
      </c>
      <c r="G5" s="10" t="inlineStr">
        <is>
          <t>Barcelona</t>
        </is>
      </c>
      <c r="H5" s="10" t="inlineStr">
        <is>
          <t>Av. Diagonal 405, Barcelona</t>
        </is>
      </c>
      <c r="I5" s="10" t="inlineStr">
        <is>
          <t>8765034DF3876N0002ZQ</t>
        </is>
      </c>
      <c r="J5" s="10" t="inlineStr">
        <is>
          <t>Piso</t>
        </is>
      </c>
      <c r="K5" s="32" t="n">
        <v>80000</v>
      </c>
      <c r="L5" s="32" t="n">
        <v>120000</v>
      </c>
      <c r="M5" s="32" t="n">
        <v>110000</v>
      </c>
      <c r="N5" s="32" t="n">
        <v>165000</v>
      </c>
      <c r="O5" s="32" t="n">
        <v>250000</v>
      </c>
      <c r="P5" s="32" t="n">
        <v>340000</v>
      </c>
      <c r="Q5" s="32" t="n">
        <v>4000</v>
      </c>
      <c r="R5" s="32" t="n">
        <v>5000</v>
      </c>
      <c r="S5" s="7" t="n">
        <v>1</v>
      </c>
      <c r="T5" s="33" t="n">
        <v>0.029</v>
      </c>
      <c r="U5" s="7" t="n">
        <v>0.25</v>
      </c>
      <c r="V5" s="9" t="inlineStr">
        <is>
          <t>No</t>
        </is>
      </c>
      <c r="W5" s="10" t="inlineStr">
        <is>
          <t>Venta por cambio de residencia</t>
        </is>
      </c>
    </row>
    <row r="6">
      <c r="A6" s="4" t="inlineStr">
        <is>
          <t>OP-2026-003</t>
        </is>
      </c>
      <c r="B6" s="31" t="n">
        <v>38362</v>
      </c>
      <c r="C6" s="31" t="n">
        <v>46071</v>
      </c>
      <c r="D6" s="4" t="inlineStr">
        <is>
          <t>Carmen Ruiz</t>
        </is>
      </c>
      <c r="E6" s="4" t="inlineStr">
        <is>
          <t>34567890M</t>
        </is>
      </c>
      <c r="F6" s="4" t="inlineStr">
        <is>
          <t>Sevilla</t>
        </is>
      </c>
      <c r="G6" s="4" t="inlineStr">
        <is>
          <t>Sevilla</t>
        </is>
      </c>
      <c r="H6" s="4" t="inlineStr">
        <is>
          <t>Calle Sierpes 8, Sevilla</t>
        </is>
      </c>
      <c r="I6" s="4" t="inlineStr">
        <is>
          <t>4532019FT5643P0003RT</t>
        </is>
      </c>
      <c r="J6" s="4" t="inlineStr">
        <is>
          <t>Vivienda unifamiliar</t>
        </is>
      </c>
      <c r="K6" s="32" t="n">
        <v>45000</v>
      </c>
      <c r="L6" s="32" t="n">
        <v>70000</v>
      </c>
      <c r="M6" s="32" t="n">
        <v>60000</v>
      </c>
      <c r="N6" s="32" t="n">
        <v>95000</v>
      </c>
      <c r="O6" s="32" t="n">
        <v>150000</v>
      </c>
      <c r="P6" s="32" t="n">
        <v>210000</v>
      </c>
      <c r="Q6" s="32" t="n">
        <v>2800</v>
      </c>
      <c r="R6" s="32" t="n">
        <v>3300</v>
      </c>
      <c r="S6" s="7" t="n">
        <v>1</v>
      </c>
      <c r="T6" s="33" t="n">
        <v>0.026</v>
      </c>
      <c r="U6" s="7" t="n">
        <v>0.21</v>
      </c>
      <c r="V6" s="9" t="inlineStr">
        <is>
          <t>Sí</t>
        </is>
      </c>
      <c r="W6" s="4" t="inlineStr">
        <is>
          <t>Herencia, venta con pérdida alegada</t>
        </is>
      </c>
    </row>
    <row r="7">
      <c r="A7" s="10" t="inlineStr">
        <is>
          <t>OP-2026-004</t>
        </is>
      </c>
      <c r="B7" s="34" t="n">
        <v>43348</v>
      </c>
      <c r="C7" s="34" t="n">
        <v>46081</v>
      </c>
      <c r="D7" s="10" t="inlineStr">
        <is>
          <t>José Martínez</t>
        </is>
      </c>
      <c r="E7" s="10" t="inlineStr">
        <is>
          <t>45678901P</t>
        </is>
      </c>
      <c r="F7" s="10" t="inlineStr">
        <is>
          <t>Valencia</t>
        </is>
      </c>
      <c r="G7" s="10" t="inlineStr">
        <is>
          <t>Valencia</t>
        </is>
      </c>
      <c r="H7" s="10" t="inlineStr">
        <is>
          <t>Calle Colón 22, Valencia</t>
        </is>
      </c>
      <c r="I7" s="10" t="inlineStr">
        <is>
          <t>6789045GH2198L0004YU</t>
        </is>
      </c>
      <c r="J7" s="10" t="inlineStr">
        <is>
          <t>Piso</t>
        </is>
      </c>
      <c r="K7" s="32" t="n">
        <v>55000</v>
      </c>
      <c r="L7" s="32" t="n">
        <v>85000</v>
      </c>
      <c r="M7" s="32" t="n">
        <v>70000</v>
      </c>
      <c r="N7" s="32" t="n">
        <v>100000</v>
      </c>
      <c r="O7" s="32" t="n">
        <v>190000</v>
      </c>
      <c r="P7" s="32" t="n">
        <v>230000</v>
      </c>
      <c r="Q7" s="32" t="n">
        <v>3000</v>
      </c>
      <c r="R7" s="32" t="n">
        <v>3600</v>
      </c>
      <c r="S7" s="7" t="n">
        <v>1</v>
      </c>
      <c r="T7" s="33" t="n">
        <v>0.03</v>
      </c>
      <c r="U7" s="7" t="n">
        <v>0.24</v>
      </c>
      <c r="V7" s="9" t="inlineStr">
        <is>
          <t>No</t>
        </is>
      </c>
      <c r="W7" s="10" t="inlineStr">
        <is>
          <t>Venta a terceros</t>
        </is>
      </c>
    </row>
    <row r="8">
      <c r="A8" s="4" t="inlineStr">
        <is>
          <t>OP-2026-005</t>
        </is>
      </c>
      <c r="B8" s="31" t="n">
        <v>41225</v>
      </c>
      <c r="C8" s="31" t="n">
        <v>46096</v>
      </c>
      <c r="D8" s="4" t="inlineStr">
        <is>
          <t>Laura Fernández</t>
        </is>
      </c>
      <c r="E8" s="4" t="inlineStr">
        <is>
          <t>56789012K</t>
        </is>
      </c>
      <c r="F8" s="4" t="inlineStr">
        <is>
          <t>Zaragoza</t>
        </is>
      </c>
      <c r="G8" s="4" t="inlineStr">
        <is>
          <t>Zaragoza</t>
        </is>
      </c>
      <c r="H8" s="4" t="inlineStr">
        <is>
          <t>Paseo Independencia 15, Zaragoza</t>
        </is>
      </c>
      <c r="I8" s="4" t="inlineStr">
        <is>
          <t>2345098JK7654M0005VB</t>
        </is>
      </c>
      <c r="J8" s="4" t="inlineStr">
        <is>
          <t>Piso</t>
        </is>
      </c>
      <c r="K8" s="32" t="n">
        <v>40000</v>
      </c>
      <c r="L8" s="32" t="n">
        <v>60000</v>
      </c>
      <c r="M8" s="32" t="n">
        <v>52000</v>
      </c>
      <c r="N8" s="32" t="n">
        <v>78000</v>
      </c>
      <c r="O8" s="32" t="n">
        <v>120000</v>
      </c>
      <c r="P8" s="32" t="n">
        <v>150000</v>
      </c>
      <c r="Q8" s="32" t="n">
        <v>2200</v>
      </c>
      <c r="R8" s="32" t="n">
        <v>2700</v>
      </c>
      <c r="S8" s="7" t="n">
        <v>1</v>
      </c>
      <c r="T8" s="33" t="n">
        <v>0.027</v>
      </c>
      <c r="U8" s="7" t="n">
        <v>0.23</v>
      </c>
      <c r="V8" s="9" t="inlineStr">
        <is>
          <t>No</t>
        </is>
      </c>
      <c r="W8" s="4" t="inlineStr">
        <is>
          <t>Venta vivienda de inversión</t>
        </is>
      </c>
    </row>
    <row r="9">
      <c r="A9" s="10" t="inlineStr">
        <is>
          <t>OP-2026-006</t>
        </is>
      </c>
      <c r="B9" s="34" t="n">
        <v>43941</v>
      </c>
      <c r="C9" s="34" t="n">
        <v>46111</v>
      </c>
      <c r="D9" s="10" t="inlineStr">
        <is>
          <t>Manuel Sánchez</t>
        </is>
      </c>
      <c r="E9" s="10" t="inlineStr">
        <is>
          <t>67890123D</t>
        </is>
      </c>
      <c r="F9" s="10" t="inlineStr">
        <is>
          <t>Málaga</t>
        </is>
      </c>
      <c r="G9" s="10" t="inlineStr">
        <is>
          <t>Málaga</t>
        </is>
      </c>
      <c r="H9" s="10" t="inlineStr">
        <is>
          <t>Calle Larios 9, Málaga</t>
        </is>
      </c>
      <c r="I9" s="10" t="inlineStr">
        <is>
          <t>3456012LM9087Q0006WD</t>
        </is>
      </c>
      <c r="J9" s="10" t="inlineStr">
        <is>
          <t>Ático</t>
        </is>
      </c>
      <c r="K9" s="32" t="n">
        <v>70000</v>
      </c>
      <c r="L9" s="32" t="n">
        <v>130000</v>
      </c>
      <c r="M9" s="32" t="n">
        <v>90000</v>
      </c>
      <c r="N9" s="32" t="n">
        <v>175000</v>
      </c>
      <c r="O9" s="32" t="n">
        <v>260000</v>
      </c>
      <c r="P9" s="32" t="n">
        <v>300000</v>
      </c>
      <c r="Q9" s="32" t="n">
        <v>3800</v>
      </c>
      <c r="R9" s="32" t="n">
        <v>4500</v>
      </c>
      <c r="S9" s="7" t="n">
        <v>1</v>
      </c>
      <c r="T9" s="33" t="n">
        <v>0.032</v>
      </c>
      <c r="U9" s="7" t="n">
        <v>0.26</v>
      </c>
      <c r="V9" s="9" t="inlineStr">
        <is>
          <t>No</t>
        </is>
      </c>
      <c r="W9" s="10" t="inlineStr">
        <is>
          <t>Venta rápida, escaso incremento</t>
        </is>
      </c>
    </row>
    <row r="10">
      <c r="A10" s="4" t="inlineStr">
        <is>
          <t>OP-2026-007</t>
        </is>
      </c>
      <c r="B10" s="31" t="n">
        <v>39637</v>
      </c>
      <c r="C10" s="31" t="n">
        <v>46122</v>
      </c>
      <c r="D10" s="4" t="inlineStr">
        <is>
          <t>Isabel Gómez</t>
        </is>
      </c>
      <c r="E10" s="4" t="inlineStr">
        <is>
          <t>78901234F</t>
        </is>
      </c>
      <c r="F10" s="4" t="inlineStr">
        <is>
          <t>Bilbao</t>
        </is>
      </c>
      <c r="G10" s="4" t="inlineStr">
        <is>
          <t>Vizcaya</t>
        </is>
      </c>
      <c r="H10" s="4" t="inlineStr">
        <is>
          <t>Gran Vía 34, Bilbao</t>
        </is>
      </c>
      <c r="I10" s="4" t="inlineStr">
        <is>
          <t>5678123NP0912R0007XE</t>
        </is>
      </c>
      <c r="J10" s="4" t="inlineStr">
        <is>
          <t>Piso</t>
        </is>
      </c>
      <c r="K10" s="32" t="n">
        <v>65000</v>
      </c>
      <c r="L10" s="32" t="n">
        <v>95000</v>
      </c>
      <c r="M10" s="32" t="n">
        <v>85000</v>
      </c>
      <c r="N10" s="32" t="n">
        <v>130000</v>
      </c>
      <c r="O10" s="32" t="n">
        <v>175000</v>
      </c>
      <c r="P10" s="32" t="n">
        <v>245000</v>
      </c>
      <c r="Q10" s="32" t="n">
        <v>3100</v>
      </c>
      <c r="R10" s="32" t="n">
        <v>3900</v>
      </c>
      <c r="S10" s="7" t="n">
        <v>1</v>
      </c>
      <c r="T10" s="33" t="n">
        <v>0.028</v>
      </c>
      <c r="U10" s="7" t="n">
        <v>0.22</v>
      </c>
      <c r="V10" s="9" t="inlineStr">
        <is>
          <t>No</t>
        </is>
      </c>
      <c r="W10" s="4" t="inlineStr">
        <is>
          <t>Venta con reinversión en vivienda</t>
        </is>
      </c>
    </row>
    <row r="11">
      <c r="A11" s="10" t="inlineStr">
        <is>
          <t>OP-2026-008</t>
        </is>
      </c>
      <c r="B11" s="34" t="n">
        <v>42414</v>
      </c>
      <c r="C11" s="34" t="n">
        <v>46134</v>
      </c>
      <c r="D11" s="10" t="inlineStr">
        <is>
          <t>Francisco Jiménez</t>
        </is>
      </c>
      <c r="E11" s="10" t="inlineStr">
        <is>
          <t>89012345H</t>
        </is>
      </c>
      <c r="F11" s="10" t="inlineStr">
        <is>
          <t>Alicante</t>
        </is>
      </c>
      <c r="G11" s="10" t="inlineStr">
        <is>
          <t>Alicante</t>
        </is>
      </c>
      <c r="H11" s="10" t="inlineStr">
        <is>
          <t>Explanada de España 5, Alicante</t>
        </is>
      </c>
      <c r="I11" s="10" t="inlineStr">
        <is>
          <t>6712345QR3456S0008YF</t>
        </is>
      </c>
      <c r="J11" s="10" t="inlineStr">
        <is>
          <t>Piso</t>
        </is>
      </c>
      <c r="K11" s="32" t="n">
        <v>38000</v>
      </c>
      <c r="L11" s="32" t="n">
        <v>58000</v>
      </c>
      <c r="M11" s="32" t="n">
        <v>44000</v>
      </c>
      <c r="N11" s="32" t="n">
        <v>66000</v>
      </c>
      <c r="O11" s="32" t="n">
        <v>110000</v>
      </c>
      <c r="P11" s="32" t="n">
        <v>118000</v>
      </c>
      <c r="Q11" s="32" t="n">
        <v>2000</v>
      </c>
      <c r="R11" s="32" t="n">
        <v>2500</v>
      </c>
      <c r="S11" s="7" t="n">
        <v>1</v>
      </c>
      <c r="T11" s="33" t="n">
        <v>0.025</v>
      </c>
      <c r="U11" s="7" t="n">
        <v>0.21</v>
      </c>
      <c r="V11" s="9" t="inlineStr">
        <is>
          <t>Sí</t>
        </is>
      </c>
      <c r="W11" s="10" t="inlineStr">
        <is>
          <t>Dación en pago, exención alegada</t>
        </is>
      </c>
    </row>
    <row r="12">
      <c r="A12" s="4" t="inlineStr">
        <is>
          <t>OP-2026-009</t>
        </is>
      </c>
      <c r="B12" s="31" t="n">
        <v>40666</v>
      </c>
      <c r="C12" s="31" t="n">
        <v>46147</v>
      </c>
      <c r="D12" s="4" t="inlineStr">
        <is>
          <t>Rosa Díaz</t>
        </is>
      </c>
      <c r="E12" s="4" t="inlineStr">
        <is>
          <t>90123456J</t>
        </is>
      </c>
      <c r="F12" s="4" t="inlineStr">
        <is>
          <t>Madrid</t>
        </is>
      </c>
      <c r="G12" s="4" t="inlineStr">
        <is>
          <t>Madrid</t>
        </is>
      </c>
      <c r="H12" s="4" t="inlineStr">
        <is>
          <t>Calle Alcalá 150, Madrid</t>
        </is>
      </c>
      <c r="I12" s="4" t="inlineStr">
        <is>
          <t>7823456ST5678T0009ZG</t>
        </is>
      </c>
      <c r="J12" s="4" t="inlineStr">
        <is>
          <t>Piso</t>
        </is>
      </c>
      <c r="K12" s="32" t="n">
        <v>72000</v>
      </c>
      <c r="L12" s="32" t="n">
        <v>110000</v>
      </c>
      <c r="M12" s="32" t="n">
        <v>98000</v>
      </c>
      <c r="N12" s="32" t="n">
        <v>150000</v>
      </c>
      <c r="O12" s="32" t="n">
        <v>210000</v>
      </c>
      <c r="P12" s="32" t="n">
        <v>295000</v>
      </c>
      <c r="Q12" s="32" t="n">
        <v>3600</v>
      </c>
      <c r="R12" s="32" t="n">
        <v>4300</v>
      </c>
      <c r="S12" s="7" t="n">
        <v>1</v>
      </c>
      <c r="T12" s="33" t="n">
        <v>0.031</v>
      </c>
      <c r="U12" s="7" t="n">
        <v>0.24</v>
      </c>
      <c r="V12" s="9" t="inlineStr">
        <is>
          <t>No</t>
        </is>
      </c>
      <c r="W12" s="4" t="inlineStr">
        <is>
          <t>Venta con plusvalía significativa</t>
        </is>
      </c>
    </row>
    <row r="13">
      <c r="A13" s="10" t="inlineStr">
        <is>
          <t>OP-2026-010</t>
        </is>
      </c>
      <c r="B13" s="34" t="n">
        <v>43763</v>
      </c>
      <c r="C13" s="34" t="n">
        <v>46160</v>
      </c>
      <c r="D13" s="10" t="inlineStr">
        <is>
          <t>Pedro Ortega</t>
        </is>
      </c>
      <c r="E13" s="10" t="inlineStr">
        <is>
          <t>01234567L</t>
        </is>
      </c>
      <c r="F13" s="10" t="inlineStr">
        <is>
          <t>Valencia</t>
        </is>
      </c>
      <c r="G13" s="10" t="inlineStr">
        <is>
          <t>Valencia</t>
        </is>
      </c>
      <c r="H13" s="10" t="inlineStr">
        <is>
          <t>Calle Ruzafa 44, Valencia</t>
        </is>
      </c>
      <c r="I13" s="10" t="inlineStr">
        <is>
          <t>8934567UV6789W0010AH</t>
        </is>
      </c>
      <c r="J13" s="10" t="inlineStr">
        <is>
          <t>Piso</t>
        </is>
      </c>
      <c r="K13" s="32" t="n">
        <v>42000</v>
      </c>
      <c r="L13" s="32" t="n">
        <v>64000</v>
      </c>
      <c r="M13" s="32" t="n">
        <v>41000</v>
      </c>
      <c r="N13" s="32" t="n">
        <v>63000</v>
      </c>
      <c r="O13" s="32" t="n">
        <v>135000</v>
      </c>
      <c r="P13" s="32" t="n">
        <v>132000</v>
      </c>
      <c r="Q13" s="32" t="n">
        <v>2500</v>
      </c>
      <c r="R13" s="32" t="n">
        <v>3000</v>
      </c>
      <c r="S13" s="7" t="n">
        <v>1</v>
      </c>
      <c r="T13" s="33" t="n">
        <v>0.029</v>
      </c>
      <c r="U13" s="7" t="n">
        <v>0.23</v>
      </c>
      <c r="V13" s="9" t="inlineStr">
        <is>
          <t>Sí</t>
        </is>
      </c>
      <c r="W13" s="10" t="inlineStr">
        <is>
          <t>Venta con pérdida patrimonial acreditada</t>
        </is>
      </c>
    </row>
  </sheetData>
  <mergeCells count="1">
    <mergeCell ref="A1:W1"/>
  </mergeCells>
  <dataValidations count="2">
    <dataValidation sqref="V4:V13" showErrorMessage="1" showInputMessage="1" allowBlank="0" type="list">
      <formula1>"Sí,No"</formula1>
    </dataValidation>
    <dataValidation sqref="J4:J13" showErrorMessage="1" showInputMessage="1" allowBlank="1" type="list">
      <formula1>"Piso,Ático,Vivienda unifamiliar,Chalet,Local"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Z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13" customWidth="1" min="2" max="2"/>
    <col width="15" customWidth="1" min="3" max="3"/>
    <col width="13" customWidth="1" min="4" max="4"/>
    <col width="13" customWidth="1" min="5" max="5"/>
    <col width="13" customWidth="1" min="6" max="6"/>
    <col width="13" customWidth="1" min="7" max="7"/>
    <col width="14" customWidth="1" min="8" max="8"/>
    <col width="14" customWidth="1" min="9" max="9"/>
    <col width="14" customWidth="1" min="10" max="10"/>
    <col width="14" customWidth="1" min="11" max="11"/>
    <col width="15" customWidth="1" min="12" max="12"/>
    <col width="13" customWidth="1" min="13" max="13"/>
    <col width="13" customWidth="1" min="14" max="14"/>
    <col width="12" customWidth="1" min="15" max="15"/>
    <col width="20" customWidth="1" min="16" max="16"/>
    <col width="20" customWidth="1" min="17" max="17"/>
    <col width="18" customWidth="1" min="18" max="18"/>
    <col width="18" customWidth="1" min="19" max="19"/>
    <col width="18" customWidth="1" min="20" max="20"/>
    <col width="14" customWidth="1" min="21" max="21"/>
    <col width="16" customWidth="1" min="22" max="22"/>
    <col width="14" customWidth="1" min="23" max="23"/>
    <col width="18" customWidth="1" min="24" max="24"/>
    <col width="16" customWidth="1" min="25" max="25"/>
    <col width="14" customWidth="1" min="26" max="26"/>
  </cols>
  <sheetData>
    <row r="1" ht="26" customHeight="1">
      <c r="A1" s="1" t="inlineStr">
        <is>
          <t>CÁLCULO DE PLUSVALÍA MUNICIPAL POR OPERACIÓN (MÉTODO REAL vs MÉTODO OBJETIVO)</t>
        </is>
      </c>
    </row>
    <row r="2">
      <c r="A2" s="2" t="inlineStr">
        <is>
          <t>Los datos se traen automáticamente de 'Entradas_Operaciones' mediante VLOOKUP a partir del ID_Operacion.</t>
        </is>
      </c>
    </row>
    <row r="3">
      <c r="A3" s="3" t="inlineStr">
        <is>
          <t>ID_Operacion</t>
        </is>
      </c>
      <c r="B3" s="3" t="inlineStr">
        <is>
          <t>Municipio</t>
        </is>
      </c>
      <c r="C3" s="3" t="inlineStr">
        <is>
          <t>Vendedor</t>
        </is>
      </c>
      <c r="D3" s="3" t="inlineStr">
        <is>
          <t>Fecha_Compra</t>
        </is>
      </c>
      <c r="E3" s="3" t="inlineStr">
        <is>
          <t>Fecha_Venta</t>
        </is>
      </c>
      <c r="F3" s="3" t="inlineStr">
        <is>
          <t>Precio_Compra</t>
        </is>
      </c>
      <c r="G3" s="3" t="inlineStr">
        <is>
          <t>Precio_Venta</t>
        </is>
      </c>
      <c r="H3" s="3" t="inlineStr">
        <is>
          <t>Valor_Suelo_Compra</t>
        </is>
      </c>
      <c r="I3" s="3" t="inlineStr">
        <is>
          <t>Valor_Constr_Compra</t>
        </is>
      </c>
      <c r="J3" s="3" t="inlineStr">
        <is>
          <t>Valor_Suelo_Venta</t>
        </is>
      </c>
      <c r="K3" s="3" t="inlineStr">
        <is>
          <t>Valor_Constr_Venta</t>
        </is>
      </c>
      <c r="L3" s="3" t="inlineStr">
        <is>
          <t>Coeficiente_Municipal</t>
        </is>
      </c>
      <c r="M3" s="3" t="inlineStr">
        <is>
          <t>Tipo_Impositivo_%</t>
        </is>
      </c>
      <c r="N3" s="3" t="inlineStr">
        <is>
          <t>Exencion_Alegada</t>
        </is>
      </c>
      <c r="O3" s="3" t="inlineStr">
        <is>
          <t>Anos_Posesion</t>
        </is>
      </c>
      <c r="P3" s="3" t="inlineStr">
        <is>
          <t>Valor_Suelo_Proporcional_Compra</t>
        </is>
      </c>
      <c r="Q3" s="3" t="inlineStr">
        <is>
          <t>Valor_Suelo_Proporcional_Venta</t>
        </is>
      </c>
      <c r="R3" s="3" t="inlineStr">
        <is>
          <t>Incremento_Imponible_Real</t>
        </is>
      </c>
      <c r="S3" s="3" t="inlineStr">
        <is>
          <t>Base_Imponible_Objetivo</t>
        </is>
      </c>
      <c r="T3" s="3" t="inlineStr">
        <is>
          <t>Importe_Base_Aplicable</t>
        </is>
      </c>
      <c r="U3" s="3" t="inlineStr">
        <is>
          <t>Cuota_Integra</t>
        </is>
      </c>
      <c r="V3" s="3" t="inlineStr">
        <is>
          <t>Bonificacion_Exencion</t>
        </is>
      </c>
      <c r="W3" s="3" t="inlineStr">
        <is>
          <t>Cuota_Final</t>
        </is>
      </c>
      <c r="X3" s="3" t="inlineStr">
        <is>
          <t>Resultado</t>
        </is>
      </c>
      <c r="Y3" s="3" t="inlineStr">
        <is>
          <t>Cuota_Alternativa</t>
        </is>
      </c>
      <c r="Z3" s="3" t="inlineStr">
        <is>
          <t>Ahorro_Fiscal</t>
        </is>
      </c>
    </row>
    <row r="4">
      <c r="A4" s="12">
        <f>Entradas_Operaciones!A4</f>
        <v/>
      </c>
      <c r="B4" s="12">
        <f>IFERROR(VLOOKUP($A4,Entradas_Operaciones!$A$4:$W$13,6,FALSE),"")</f>
        <v/>
      </c>
      <c r="C4" s="12">
        <f>IFERROR(VLOOKUP($A4,Entradas_Operaciones!$A$4:$W$13,4,FALSE),"")</f>
        <v/>
      </c>
      <c r="D4" s="31">
        <f>IFERROR(VLOOKUP($A4,Entradas_Operaciones!$A$4:$W$13,2,FALSE),"")</f>
        <v/>
      </c>
      <c r="E4" s="31">
        <f>IFERROR(VLOOKUP($A4,Entradas_Operaciones!$A$4:$W$13,3,FALSE),"")</f>
        <v/>
      </c>
      <c r="F4" s="35">
        <f>IFERROR(VLOOKUP($A4,Entradas_Operaciones!$A$4:$W$13,15,FALSE),0)</f>
        <v/>
      </c>
      <c r="G4" s="35">
        <f>IFERROR(VLOOKUP($A4,Entradas_Operaciones!$A$4:$W$13,16,FALSE),0)</f>
        <v/>
      </c>
      <c r="H4" s="35">
        <f>IFERROR(VLOOKUP($A4,Entradas_Operaciones!$A$4:$W$13,11,FALSE),0)</f>
        <v/>
      </c>
      <c r="I4" s="35">
        <f>IFERROR(VLOOKUP($A4,Entradas_Operaciones!$A$4:$W$13,12,FALSE),0)</f>
        <v/>
      </c>
      <c r="J4" s="35">
        <f>IFERROR(VLOOKUP($A4,Entradas_Operaciones!$A$4:$W$13,13,FALSE),0)</f>
        <v/>
      </c>
      <c r="K4" s="35">
        <f>IFERROR(VLOOKUP($A4,Entradas_Operaciones!$A$4:$W$13,14,FALSE),0)</f>
        <v/>
      </c>
      <c r="L4" s="36">
        <f>IFERROR(VLOOKUP($A4,Entradas_Operaciones!$A$4:$W$13,20,FALSE),0)</f>
        <v/>
      </c>
      <c r="M4" s="15">
        <f>IFERROR(VLOOKUP($A4,Entradas_Operaciones!$A$4:$W$13,21,FALSE),0)</f>
        <v/>
      </c>
      <c r="N4" s="12">
        <f>IFERROR(VLOOKUP($A4,Entradas_Operaciones!$A$4:$W$13,22,FALSE),"No")</f>
        <v/>
      </c>
      <c r="O4" s="16">
        <f>IFERROR(DATEDIF(D4,E4,"y"),0)</f>
        <v/>
      </c>
      <c r="P4" s="35">
        <f>IFERROR(F4*(H4/(H4+I4)),0)</f>
        <v/>
      </c>
      <c r="Q4" s="35">
        <f>IFERROR(G4*(J4/(J4+K4)),0)</f>
        <v/>
      </c>
      <c r="R4" s="35">
        <f>MAX(0,Q4-P4)</f>
        <v/>
      </c>
      <c r="S4" s="35">
        <f>Q4*L4*O4</f>
        <v/>
      </c>
      <c r="T4" s="35">
        <f>MIN(R4,S4)</f>
        <v/>
      </c>
      <c r="U4" s="35">
        <f>T4*M4</f>
        <v/>
      </c>
      <c r="V4" s="35">
        <f>IF(N4="Sí",U4,0)</f>
        <v/>
      </c>
      <c r="W4" s="35">
        <f>MAX(0,U4-V4)</f>
        <v/>
      </c>
      <c r="X4" s="12">
        <f>IF(W4=0,"No sujeta / Exenta","A pagar")</f>
        <v/>
      </c>
      <c r="Y4" s="35">
        <f>MAX(0,MAX(R4,S4)*M4-V4)</f>
        <v/>
      </c>
      <c r="Z4" s="35">
        <f>Y4-W4</f>
        <v/>
      </c>
    </row>
    <row r="5">
      <c r="A5" s="17">
        <f>Entradas_Operaciones!A5</f>
        <v/>
      </c>
      <c r="B5" s="17">
        <f>IFERROR(VLOOKUP($A5,Entradas_Operaciones!$A$4:$W$13,6,FALSE),"")</f>
        <v/>
      </c>
      <c r="C5" s="17">
        <f>IFERROR(VLOOKUP($A5,Entradas_Operaciones!$A$4:$W$13,4,FALSE),"")</f>
        <v/>
      </c>
      <c r="D5" s="34">
        <f>IFERROR(VLOOKUP($A5,Entradas_Operaciones!$A$4:$W$13,2,FALSE),"")</f>
        <v/>
      </c>
      <c r="E5" s="34">
        <f>IFERROR(VLOOKUP($A5,Entradas_Operaciones!$A$4:$W$13,3,FALSE),"")</f>
        <v/>
      </c>
      <c r="F5" s="37">
        <f>IFERROR(VLOOKUP($A5,Entradas_Operaciones!$A$4:$W$13,15,FALSE),0)</f>
        <v/>
      </c>
      <c r="G5" s="37">
        <f>IFERROR(VLOOKUP($A5,Entradas_Operaciones!$A$4:$W$13,16,FALSE),0)</f>
        <v/>
      </c>
      <c r="H5" s="37">
        <f>IFERROR(VLOOKUP($A5,Entradas_Operaciones!$A$4:$W$13,11,FALSE),0)</f>
        <v/>
      </c>
      <c r="I5" s="37">
        <f>IFERROR(VLOOKUP($A5,Entradas_Operaciones!$A$4:$W$13,12,FALSE),0)</f>
        <v/>
      </c>
      <c r="J5" s="37">
        <f>IFERROR(VLOOKUP($A5,Entradas_Operaciones!$A$4:$W$13,13,FALSE),0)</f>
        <v/>
      </c>
      <c r="K5" s="37">
        <f>IFERROR(VLOOKUP($A5,Entradas_Operaciones!$A$4:$W$13,14,FALSE),0)</f>
        <v/>
      </c>
      <c r="L5" s="38">
        <f>IFERROR(VLOOKUP($A5,Entradas_Operaciones!$A$4:$W$13,20,FALSE),0)</f>
        <v/>
      </c>
      <c r="M5" s="20">
        <f>IFERROR(VLOOKUP($A5,Entradas_Operaciones!$A$4:$W$13,21,FALSE),0)</f>
        <v/>
      </c>
      <c r="N5" s="17">
        <f>IFERROR(VLOOKUP($A5,Entradas_Operaciones!$A$4:$W$13,22,FALSE),"No")</f>
        <v/>
      </c>
      <c r="O5" s="21">
        <f>IFERROR(DATEDIF(D5,E5,"y"),0)</f>
        <v/>
      </c>
      <c r="P5" s="37">
        <f>IFERROR(F5*(H5/(H5+I5)),0)</f>
        <v/>
      </c>
      <c r="Q5" s="37">
        <f>IFERROR(G5*(J5/(J5+K5)),0)</f>
        <v/>
      </c>
      <c r="R5" s="37">
        <f>MAX(0,Q5-P5)</f>
        <v/>
      </c>
      <c r="S5" s="37">
        <f>Q5*L5*O5</f>
        <v/>
      </c>
      <c r="T5" s="37">
        <f>MIN(R5,S5)</f>
        <v/>
      </c>
      <c r="U5" s="37">
        <f>T5*M5</f>
        <v/>
      </c>
      <c r="V5" s="37">
        <f>IF(N5="Sí",U5,0)</f>
        <v/>
      </c>
      <c r="W5" s="37">
        <f>MAX(0,U5-V5)</f>
        <v/>
      </c>
      <c r="X5" s="17">
        <f>IF(W5=0,"No sujeta / Exenta","A pagar")</f>
        <v/>
      </c>
      <c r="Y5" s="37">
        <f>MAX(0,MAX(R5,S5)*M5-V5)</f>
        <v/>
      </c>
      <c r="Z5" s="37">
        <f>Y5-W5</f>
        <v/>
      </c>
    </row>
    <row r="6">
      <c r="A6" s="12">
        <f>Entradas_Operaciones!A6</f>
        <v/>
      </c>
      <c r="B6" s="12">
        <f>IFERROR(VLOOKUP($A6,Entradas_Operaciones!$A$4:$W$13,6,FALSE),"")</f>
        <v/>
      </c>
      <c r="C6" s="12">
        <f>IFERROR(VLOOKUP($A6,Entradas_Operaciones!$A$4:$W$13,4,FALSE),"")</f>
        <v/>
      </c>
      <c r="D6" s="31">
        <f>IFERROR(VLOOKUP($A6,Entradas_Operaciones!$A$4:$W$13,2,FALSE),"")</f>
        <v/>
      </c>
      <c r="E6" s="31">
        <f>IFERROR(VLOOKUP($A6,Entradas_Operaciones!$A$4:$W$13,3,FALSE),"")</f>
        <v/>
      </c>
      <c r="F6" s="35">
        <f>IFERROR(VLOOKUP($A6,Entradas_Operaciones!$A$4:$W$13,15,FALSE),0)</f>
        <v/>
      </c>
      <c r="G6" s="35">
        <f>IFERROR(VLOOKUP($A6,Entradas_Operaciones!$A$4:$W$13,16,FALSE),0)</f>
        <v/>
      </c>
      <c r="H6" s="35">
        <f>IFERROR(VLOOKUP($A6,Entradas_Operaciones!$A$4:$W$13,11,FALSE),0)</f>
        <v/>
      </c>
      <c r="I6" s="35">
        <f>IFERROR(VLOOKUP($A6,Entradas_Operaciones!$A$4:$W$13,12,FALSE),0)</f>
        <v/>
      </c>
      <c r="J6" s="35">
        <f>IFERROR(VLOOKUP($A6,Entradas_Operaciones!$A$4:$W$13,13,FALSE),0)</f>
        <v/>
      </c>
      <c r="K6" s="35">
        <f>IFERROR(VLOOKUP($A6,Entradas_Operaciones!$A$4:$W$13,14,FALSE),0)</f>
        <v/>
      </c>
      <c r="L6" s="36">
        <f>IFERROR(VLOOKUP($A6,Entradas_Operaciones!$A$4:$W$13,20,FALSE),0)</f>
        <v/>
      </c>
      <c r="M6" s="15">
        <f>IFERROR(VLOOKUP($A6,Entradas_Operaciones!$A$4:$W$13,21,FALSE),0)</f>
        <v/>
      </c>
      <c r="N6" s="12">
        <f>IFERROR(VLOOKUP($A6,Entradas_Operaciones!$A$4:$W$13,22,FALSE),"No")</f>
        <v/>
      </c>
      <c r="O6" s="16">
        <f>IFERROR(DATEDIF(D6,E6,"y"),0)</f>
        <v/>
      </c>
      <c r="P6" s="35">
        <f>IFERROR(F6*(H6/(H6+I6)),0)</f>
        <v/>
      </c>
      <c r="Q6" s="35">
        <f>IFERROR(G6*(J6/(J6+K6)),0)</f>
        <v/>
      </c>
      <c r="R6" s="35">
        <f>MAX(0,Q6-P6)</f>
        <v/>
      </c>
      <c r="S6" s="35">
        <f>Q6*L6*O6</f>
        <v/>
      </c>
      <c r="T6" s="35">
        <f>MIN(R6,S6)</f>
        <v/>
      </c>
      <c r="U6" s="35">
        <f>T6*M6</f>
        <v/>
      </c>
      <c r="V6" s="35">
        <f>IF(N6="Sí",U6,0)</f>
        <v/>
      </c>
      <c r="W6" s="35">
        <f>MAX(0,U6-V6)</f>
        <v/>
      </c>
      <c r="X6" s="12">
        <f>IF(W6=0,"No sujeta / Exenta","A pagar")</f>
        <v/>
      </c>
      <c r="Y6" s="35">
        <f>MAX(0,MAX(R6,S6)*M6-V6)</f>
        <v/>
      </c>
      <c r="Z6" s="35">
        <f>Y6-W6</f>
        <v/>
      </c>
    </row>
    <row r="7">
      <c r="A7" s="17">
        <f>Entradas_Operaciones!A7</f>
        <v/>
      </c>
      <c r="B7" s="17">
        <f>IFERROR(VLOOKUP($A7,Entradas_Operaciones!$A$4:$W$13,6,FALSE),"")</f>
        <v/>
      </c>
      <c r="C7" s="17">
        <f>IFERROR(VLOOKUP($A7,Entradas_Operaciones!$A$4:$W$13,4,FALSE),"")</f>
        <v/>
      </c>
      <c r="D7" s="34">
        <f>IFERROR(VLOOKUP($A7,Entradas_Operaciones!$A$4:$W$13,2,FALSE),"")</f>
        <v/>
      </c>
      <c r="E7" s="34">
        <f>IFERROR(VLOOKUP($A7,Entradas_Operaciones!$A$4:$W$13,3,FALSE),"")</f>
        <v/>
      </c>
      <c r="F7" s="37">
        <f>IFERROR(VLOOKUP($A7,Entradas_Operaciones!$A$4:$W$13,15,FALSE),0)</f>
        <v/>
      </c>
      <c r="G7" s="37">
        <f>IFERROR(VLOOKUP($A7,Entradas_Operaciones!$A$4:$W$13,16,FALSE),0)</f>
        <v/>
      </c>
      <c r="H7" s="37">
        <f>IFERROR(VLOOKUP($A7,Entradas_Operaciones!$A$4:$W$13,11,FALSE),0)</f>
        <v/>
      </c>
      <c r="I7" s="37">
        <f>IFERROR(VLOOKUP($A7,Entradas_Operaciones!$A$4:$W$13,12,FALSE),0)</f>
        <v/>
      </c>
      <c r="J7" s="37">
        <f>IFERROR(VLOOKUP($A7,Entradas_Operaciones!$A$4:$W$13,13,FALSE),0)</f>
        <v/>
      </c>
      <c r="K7" s="37">
        <f>IFERROR(VLOOKUP($A7,Entradas_Operaciones!$A$4:$W$13,14,FALSE),0)</f>
        <v/>
      </c>
      <c r="L7" s="38">
        <f>IFERROR(VLOOKUP($A7,Entradas_Operaciones!$A$4:$W$13,20,FALSE),0)</f>
        <v/>
      </c>
      <c r="M7" s="20">
        <f>IFERROR(VLOOKUP($A7,Entradas_Operaciones!$A$4:$W$13,21,FALSE),0)</f>
        <v/>
      </c>
      <c r="N7" s="17">
        <f>IFERROR(VLOOKUP($A7,Entradas_Operaciones!$A$4:$W$13,22,FALSE),"No")</f>
        <v/>
      </c>
      <c r="O7" s="21">
        <f>IFERROR(DATEDIF(D7,E7,"y"),0)</f>
        <v/>
      </c>
      <c r="P7" s="37">
        <f>IFERROR(F7*(H7/(H7+I7)),0)</f>
        <v/>
      </c>
      <c r="Q7" s="37">
        <f>IFERROR(G7*(J7/(J7+K7)),0)</f>
        <v/>
      </c>
      <c r="R7" s="37">
        <f>MAX(0,Q7-P7)</f>
        <v/>
      </c>
      <c r="S7" s="37">
        <f>Q7*L7*O7</f>
        <v/>
      </c>
      <c r="T7" s="37">
        <f>MIN(R7,S7)</f>
        <v/>
      </c>
      <c r="U7" s="37">
        <f>T7*M7</f>
        <v/>
      </c>
      <c r="V7" s="37">
        <f>IF(N7="Sí",U7,0)</f>
        <v/>
      </c>
      <c r="W7" s="37">
        <f>MAX(0,U7-V7)</f>
        <v/>
      </c>
      <c r="X7" s="17">
        <f>IF(W7=0,"No sujeta / Exenta","A pagar")</f>
        <v/>
      </c>
      <c r="Y7" s="37">
        <f>MAX(0,MAX(R7,S7)*M7-V7)</f>
        <v/>
      </c>
      <c r="Z7" s="37">
        <f>Y7-W7</f>
        <v/>
      </c>
    </row>
    <row r="8">
      <c r="A8" s="12">
        <f>Entradas_Operaciones!A8</f>
        <v/>
      </c>
      <c r="B8" s="12">
        <f>IFERROR(VLOOKUP($A8,Entradas_Operaciones!$A$4:$W$13,6,FALSE),"")</f>
        <v/>
      </c>
      <c r="C8" s="12">
        <f>IFERROR(VLOOKUP($A8,Entradas_Operaciones!$A$4:$W$13,4,FALSE),"")</f>
        <v/>
      </c>
      <c r="D8" s="31">
        <f>IFERROR(VLOOKUP($A8,Entradas_Operaciones!$A$4:$W$13,2,FALSE),"")</f>
        <v/>
      </c>
      <c r="E8" s="31">
        <f>IFERROR(VLOOKUP($A8,Entradas_Operaciones!$A$4:$W$13,3,FALSE),"")</f>
        <v/>
      </c>
      <c r="F8" s="35">
        <f>IFERROR(VLOOKUP($A8,Entradas_Operaciones!$A$4:$W$13,15,FALSE),0)</f>
        <v/>
      </c>
      <c r="G8" s="35">
        <f>IFERROR(VLOOKUP($A8,Entradas_Operaciones!$A$4:$W$13,16,FALSE),0)</f>
        <v/>
      </c>
      <c r="H8" s="35">
        <f>IFERROR(VLOOKUP($A8,Entradas_Operaciones!$A$4:$W$13,11,FALSE),0)</f>
        <v/>
      </c>
      <c r="I8" s="35">
        <f>IFERROR(VLOOKUP($A8,Entradas_Operaciones!$A$4:$W$13,12,FALSE),0)</f>
        <v/>
      </c>
      <c r="J8" s="35">
        <f>IFERROR(VLOOKUP($A8,Entradas_Operaciones!$A$4:$W$13,13,FALSE),0)</f>
        <v/>
      </c>
      <c r="K8" s="35">
        <f>IFERROR(VLOOKUP($A8,Entradas_Operaciones!$A$4:$W$13,14,FALSE),0)</f>
        <v/>
      </c>
      <c r="L8" s="36">
        <f>IFERROR(VLOOKUP($A8,Entradas_Operaciones!$A$4:$W$13,20,FALSE),0)</f>
        <v/>
      </c>
      <c r="M8" s="15">
        <f>IFERROR(VLOOKUP($A8,Entradas_Operaciones!$A$4:$W$13,21,FALSE),0)</f>
        <v/>
      </c>
      <c r="N8" s="12">
        <f>IFERROR(VLOOKUP($A8,Entradas_Operaciones!$A$4:$W$13,22,FALSE),"No")</f>
        <v/>
      </c>
      <c r="O8" s="16">
        <f>IFERROR(DATEDIF(D8,E8,"y"),0)</f>
        <v/>
      </c>
      <c r="P8" s="35">
        <f>IFERROR(F8*(H8/(H8+I8)),0)</f>
        <v/>
      </c>
      <c r="Q8" s="35">
        <f>IFERROR(G8*(J8/(J8+K8)),0)</f>
        <v/>
      </c>
      <c r="R8" s="35">
        <f>MAX(0,Q8-P8)</f>
        <v/>
      </c>
      <c r="S8" s="35">
        <f>Q8*L8*O8</f>
        <v/>
      </c>
      <c r="T8" s="35">
        <f>MIN(R8,S8)</f>
        <v/>
      </c>
      <c r="U8" s="35">
        <f>T8*M8</f>
        <v/>
      </c>
      <c r="V8" s="35">
        <f>IF(N8="Sí",U8,0)</f>
        <v/>
      </c>
      <c r="W8" s="35">
        <f>MAX(0,U8-V8)</f>
        <v/>
      </c>
      <c r="X8" s="12">
        <f>IF(W8=0,"No sujeta / Exenta","A pagar")</f>
        <v/>
      </c>
      <c r="Y8" s="35">
        <f>MAX(0,MAX(R8,S8)*M8-V8)</f>
        <v/>
      </c>
      <c r="Z8" s="35">
        <f>Y8-W8</f>
        <v/>
      </c>
    </row>
    <row r="9">
      <c r="A9" s="17">
        <f>Entradas_Operaciones!A9</f>
        <v/>
      </c>
      <c r="B9" s="17">
        <f>IFERROR(VLOOKUP($A9,Entradas_Operaciones!$A$4:$W$13,6,FALSE),"")</f>
        <v/>
      </c>
      <c r="C9" s="17">
        <f>IFERROR(VLOOKUP($A9,Entradas_Operaciones!$A$4:$W$13,4,FALSE),"")</f>
        <v/>
      </c>
      <c r="D9" s="34">
        <f>IFERROR(VLOOKUP($A9,Entradas_Operaciones!$A$4:$W$13,2,FALSE),"")</f>
        <v/>
      </c>
      <c r="E9" s="34">
        <f>IFERROR(VLOOKUP($A9,Entradas_Operaciones!$A$4:$W$13,3,FALSE),"")</f>
        <v/>
      </c>
      <c r="F9" s="37">
        <f>IFERROR(VLOOKUP($A9,Entradas_Operaciones!$A$4:$W$13,15,FALSE),0)</f>
        <v/>
      </c>
      <c r="G9" s="37">
        <f>IFERROR(VLOOKUP($A9,Entradas_Operaciones!$A$4:$W$13,16,FALSE),0)</f>
        <v/>
      </c>
      <c r="H9" s="37">
        <f>IFERROR(VLOOKUP($A9,Entradas_Operaciones!$A$4:$W$13,11,FALSE),0)</f>
        <v/>
      </c>
      <c r="I9" s="37">
        <f>IFERROR(VLOOKUP($A9,Entradas_Operaciones!$A$4:$W$13,12,FALSE),0)</f>
        <v/>
      </c>
      <c r="J9" s="37">
        <f>IFERROR(VLOOKUP($A9,Entradas_Operaciones!$A$4:$W$13,13,FALSE),0)</f>
        <v/>
      </c>
      <c r="K9" s="37">
        <f>IFERROR(VLOOKUP($A9,Entradas_Operaciones!$A$4:$W$13,14,FALSE),0)</f>
        <v/>
      </c>
      <c r="L9" s="38">
        <f>IFERROR(VLOOKUP($A9,Entradas_Operaciones!$A$4:$W$13,20,FALSE),0)</f>
        <v/>
      </c>
      <c r="M9" s="20">
        <f>IFERROR(VLOOKUP($A9,Entradas_Operaciones!$A$4:$W$13,21,FALSE),0)</f>
        <v/>
      </c>
      <c r="N9" s="17">
        <f>IFERROR(VLOOKUP($A9,Entradas_Operaciones!$A$4:$W$13,22,FALSE),"No")</f>
        <v/>
      </c>
      <c r="O9" s="21">
        <f>IFERROR(DATEDIF(D9,E9,"y"),0)</f>
        <v/>
      </c>
      <c r="P9" s="37">
        <f>IFERROR(F9*(H9/(H9+I9)),0)</f>
        <v/>
      </c>
      <c r="Q9" s="37">
        <f>IFERROR(G9*(J9/(J9+K9)),0)</f>
        <v/>
      </c>
      <c r="R9" s="37">
        <f>MAX(0,Q9-P9)</f>
        <v/>
      </c>
      <c r="S9" s="37">
        <f>Q9*L9*O9</f>
        <v/>
      </c>
      <c r="T9" s="37">
        <f>MIN(R9,S9)</f>
        <v/>
      </c>
      <c r="U9" s="37">
        <f>T9*M9</f>
        <v/>
      </c>
      <c r="V9" s="37">
        <f>IF(N9="Sí",U9,0)</f>
        <v/>
      </c>
      <c r="W9" s="37">
        <f>MAX(0,U9-V9)</f>
        <v/>
      </c>
      <c r="X9" s="17">
        <f>IF(W9=0,"No sujeta / Exenta","A pagar")</f>
        <v/>
      </c>
      <c r="Y9" s="37">
        <f>MAX(0,MAX(R9,S9)*M9-V9)</f>
        <v/>
      </c>
      <c r="Z9" s="37">
        <f>Y9-W9</f>
        <v/>
      </c>
    </row>
    <row r="10">
      <c r="A10" s="12">
        <f>Entradas_Operaciones!A10</f>
        <v/>
      </c>
      <c r="B10" s="12">
        <f>IFERROR(VLOOKUP($A10,Entradas_Operaciones!$A$4:$W$13,6,FALSE),"")</f>
        <v/>
      </c>
      <c r="C10" s="12">
        <f>IFERROR(VLOOKUP($A10,Entradas_Operaciones!$A$4:$W$13,4,FALSE),"")</f>
        <v/>
      </c>
      <c r="D10" s="31">
        <f>IFERROR(VLOOKUP($A10,Entradas_Operaciones!$A$4:$W$13,2,FALSE),"")</f>
        <v/>
      </c>
      <c r="E10" s="31">
        <f>IFERROR(VLOOKUP($A10,Entradas_Operaciones!$A$4:$W$13,3,FALSE),"")</f>
        <v/>
      </c>
      <c r="F10" s="35">
        <f>IFERROR(VLOOKUP($A10,Entradas_Operaciones!$A$4:$W$13,15,FALSE),0)</f>
        <v/>
      </c>
      <c r="G10" s="35">
        <f>IFERROR(VLOOKUP($A10,Entradas_Operaciones!$A$4:$W$13,16,FALSE),0)</f>
        <v/>
      </c>
      <c r="H10" s="35">
        <f>IFERROR(VLOOKUP($A10,Entradas_Operaciones!$A$4:$W$13,11,FALSE),0)</f>
        <v/>
      </c>
      <c r="I10" s="35">
        <f>IFERROR(VLOOKUP($A10,Entradas_Operaciones!$A$4:$W$13,12,FALSE),0)</f>
        <v/>
      </c>
      <c r="J10" s="35">
        <f>IFERROR(VLOOKUP($A10,Entradas_Operaciones!$A$4:$W$13,13,FALSE),0)</f>
        <v/>
      </c>
      <c r="K10" s="35">
        <f>IFERROR(VLOOKUP($A10,Entradas_Operaciones!$A$4:$W$13,14,FALSE),0)</f>
        <v/>
      </c>
      <c r="L10" s="36">
        <f>IFERROR(VLOOKUP($A10,Entradas_Operaciones!$A$4:$W$13,20,FALSE),0)</f>
        <v/>
      </c>
      <c r="M10" s="15">
        <f>IFERROR(VLOOKUP($A10,Entradas_Operaciones!$A$4:$W$13,21,FALSE),0)</f>
        <v/>
      </c>
      <c r="N10" s="12">
        <f>IFERROR(VLOOKUP($A10,Entradas_Operaciones!$A$4:$W$13,22,FALSE),"No")</f>
        <v/>
      </c>
      <c r="O10" s="16">
        <f>IFERROR(DATEDIF(D10,E10,"y"),0)</f>
        <v/>
      </c>
      <c r="P10" s="35">
        <f>IFERROR(F10*(H10/(H10+I10)),0)</f>
        <v/>
      </c>
      <c r="Q10" s="35">
        <f>IFERROR(G10*(J10/(J10+K10)),0)</f>
        <v/>
      </c>
      <c r="R10" s="35">
        <f>MAX(0,Q10-P10)</f>
        <v/>
      </c>
      <c r="S10" s="35">
        <f>Q10*L10*O10</f>
        <v/>
      </c>
      <c r="T10" s="35">
        <f>MIN(R10,S10)</f>
        <v/>
      </c>
      <c r="U10" s="35">
        <f>T10*M10</f>
        <v/>
      </c>
      <c r="V10" s="35">
        <f>IF(N10="Sí",U10,0)</f>
        <v/>
      </c>
      <c r="W10" s="35">
        <f>MAX(0,U10-V10)</f>
        <v/>
      </c>
      <c r="X10" s="12">
        <f>IF(W10=0,"No sujeta / Exenta","A pagar")</f>
        <v/>
      </c>
      <c r="Y10" s="35">
        <f>MAX(0,MAX(R10,S10)*M10-V10)</f>
        <v/>
      </c>
      <c r="Z10" s="35">
        <f>Y10-W10</f>
        <v/>
      </c>
    </row>
    <row r="11">
      <c r="A11" s="17">
        <f>Entradas_Operaciones!A11</f>
        <v/>
      </c>
      <c r="B11" s="17">
        <f>IFERROR(VLOOKUP($A11,Entradas_Operaciones!$A$4:$W$13,6,FALSE),"")</f>
        <v/>
      </c>
      <c r="C11" s="17">
        <f>IFERROR(VLOOKUP($A11,Entradas_Operaciones!$A$4:$W$13,4,FALSE),"")</f>
        <v/>
      </c>
      <c r="D11" s="34">
        <f>IFERROR(VLOOKUP($A11,Entradas_Operaciones!$A$4:$W$13,2,FALSE),"")</f>
        <v/>
      </c>
      <c r="E11" s="34">
        <f>IFERROR(VLOOKUP($A11,Entradas_Operaciones!$A$4:$W$13,3,FALSE),"")</f>
        <v/>
      </c>
      <c r="F11" s="37">
        <f>IFERROR(VLOOKUP($A11,Entradas_Operaciones!$A$4:$W$13,15,FALSE),0)</f>
        <v/>
      </c>
      <c r="G11" s="37">
        <f>IFERROR(VLOOKUP($A11,Entradas_Operaciones!$A$4:$W$13,16,FALSE),0)</f>
        <v/>
      </c>
      <c r="H11" s="37">
        <f>IFERROR(VLOOKUP($A11,Entradas_Operaciones!$A$4:$W$13,11,FALSE),0)</f>
        <v/>
      </c>
      <c r="I11" s="37">
        <f>IFERROR(VLOOKUP($A11,Entradas_Operaciones!$A$4:$W$13,12,FALSE),0)</f>
        <v/>
      </c>
      <c r="J11" s="37">
        <f>IFERROR(VLOOKUP($A11,Entradas_Operaciones!$A$4:$W$13,13,FALSE),0)</f>
        <v/>
      </c>
      <c r="K11" s="37">
        <f>IFERROR(VLOOKUP($A11,Entradas_Operaciones!$A$4:$W$13,14,FALSE),0)</f>
        <v/>
      </c>
      <c r="L11" s="38">
        <f>IFERROR(VLOOKUP($A11,Entradas_Operaciones!$A$4:$W$13,20,FALSE),0)</f>
        <v/>
      </c>
      <c r="M11" s="20">
        <f>IFERROR(VLOOKUP($A11,Entradas_Operaciones!$A$4:$W$13,21,FALSE),0)</f>
        <v/>
      </c>
      <c r="N11" s="17">
        <f>IFERROR(VLOOKUP($A11,Entradas_Operaciones!$A$4:$W$13,22,FALSE),"No")</f>
        <v/>
      </c>
      <c r="O11" s="21">
        <f>IFERROR(DATEDIF(D11,E11,"y"),0)</f>
        <v/>
      </c>
      <c r="P11" s="37">
        <f>IFERROR(F11*(H11/(H11+I11)),0)</f>
        <v/>
      </c>
      <c r="Q11" s="37">
        <f>IFERROR(G11*(J11/(J11+K11)),0)</f>
        <v/>
      </c>
      <c r="R11" s="37">
        <f>MAX(0,Q11-P11)</f>
        <v/>
      </c>
      <c r="S11" s="37">
        <f>Q11*L11*O11</f>
        <v/>
      </c>
      <c r="T11" s="37">
        <f>MIN(R11,S11)</f>
        <v/>
      </c>
      <c r="U11" s="37">
        <f>T11*M11</f>
        <v/>
      </c>
      <c r="V11" s="37">
        <f>IF(N11="Sí",U11,0)</f>
        <v/>
      </c>
      <c r="W11" s="37">
        <f>MAX(0,U11-V11)</f>
        <v/>
      </c>
      <c r="X11" s="17">
        <f>IF(W11=0,"No sujeta / Exenta","A pagar")</f>
        <v/>
      </c>
      <c r="Y11" s="37">
        <f>MAX(0,MAX(R11,S11)*M11-V11)</f>
        <v/>
      </c>
      <c r="Z11" s="37">
        <f>Y11-W11</f>
        <v/>
      </c>
    </row>
    <row r="12">
      <c r="A12" s="12">
        <f>Entradas_Operaciones!A12</f>
        <v/>
      </c>
      <c r="B12" s="12">
        <f>IFERROR(VLOOKUP($A12,Entradas_Operaciones!$A$4:$W$13,6,FALSE),"")</f>
        <v/>
      </c>
      <c r="C12" s="12">
        <f>IFERROR(VLOOKUP($A12,Entradas_Operaciones!$A$4:$W$13,4,FALSE),"")</f>
        <v/>
      </c>
      <c r="D12" s="31">
        <f>IFERROR(VLOOKUP($A12,Entradas_Operaciones!$A$4:$W$13,2,FALSE),"")</f>
        <v/>
      </c>
      <c r="E12" s="31">
        <f>IFERROR(VLOOKUP($A12,Entradas_Operaciones!$A$4:$W$13,3,FALSE),"")</f>
        <v/>
      </c>
      <c r="F12" s="35">
        <f>IFERROR(VLOOKUP($A12,Entradas_Operaciones!$A$4:$W$13,15,FALSE),0)</f>
        <v/>
      </c>
      <c r="G12" s="35">
        <f>IFERROR(VLOOKUP($A12,Entradas_Operaciones!$A$4:$W$13,16,FALSE),0)</f>
        <v/>
      </c>
      <c r="H12" s="35">
        <f>IFERROR(VLOOKUP($A12,Entradas_Operaciones!$A$4:$W$13,11,FALSE),0)</f>
        <v/>
      </c>
      <c r="I12" s="35">
        <f>IFERROR(VLOOKUP($A12,Entradas_Operaciones!$A$4:$W$13,12,FALSE),0)</f>
        <v/>
      </c>
      <c r="J12" s="35">
        <f>IFERROR(VLOOKUP($A12,Entradas_Operaciones!$A$4:$W$13,13,FALSE),0)</f>
        <v/>
      </c>
      <c r="K12" s="35">
        <f>IFERROR(VLOOKUP($A12,Entradas_Operaciones!$A$4:$W$13,14,FALSE),0)</f>
        <v/>
      </c>
      <c r="L12" s="36">
        <f>IFERROR(VLOOKUP($A12,Entradas_Operaciones!$A$4:$W$13,20,FALSE),0)</f>
        <v/>
      </c>
      <c r="M12" s="15">
        <f>IFERROR(VLOOKUP($A12,Entradas_Operaciones!$A$4:$W$13,21,FALSE),0)</f>
        <v/>
      </c>
      <c r="N12" s="12">
        <f>IFERROR(VLOOKUP($A12,Entradas_Operaciones!$A$4:$W$13,22,FALSE),"No")</f>
        <v/>
      </c>
      <c r="O12" s="16">
        <f>IFERROR(DATEDIF(D12,E12,"y"),0)</f>
        <v/>
      </c>
      <c r="P12" s="35">
        <f>IFERROR(F12*(H12/(H12+I12)),0)</f>
        <v/>
      </c>
      <c r="Q12" s="35">
        <f>IFERROR(G12*(J12/(J12+K12)),0)</f>
        <v/>
      </c>
      <c r="R12" s="35">
        <f>MAX(0,Q12-P12)</f>
        <v/>
      </c>
      <c r="S12" s="35">
        <f>Q12*L12*O12</f>
        <v/>
      </c>
      <c r="T12" s="35">
        <f>MIN(R12,S12)</f>
        <v/>
      </c>
      <c r="U12" s="35">
        <f>T12*M12</f>
        <v/>
      </c>
      <c r="V12" s="35">
        <f>IF(N12="Sí",U12,0)</f>
        <v/>
      </c>
      <c r="W12" s="35">
        <f>MAX(0,U12-V12)</f>
        <v/>
      </c>
      <c r="X12" s="12">
        <f>IF(W12=0,"No sujeta / Exenta","A pagar")</f>
        <v/>
      </c>
      <c r="Y12" s="35">
        <f>MAX(0,MAX(R12,S12)*M12-V12)</f>
        <v/>
      </c>
      <c r="Z12" s="35">
        <f>Y12-W12</f>
        <v/>
      </c>
    </row>
    <row r="13">
      <c r="A13" s="17">
        <f>Entradas_Operaciones!A13</f>
        <v/>
      </c>
      <c r="B13" s="17">
        <f>IFERROR(VLOOKUP($A13,Entradas_Operaciones!$A$4:$W$13,6,FALSE),"")</f>
        <v/>
      </c>
      <c r="C13" s="17">
        <f>IFERROR(VLOOKUP($A13,Entradas_Operaciones!$A$4:$W$13,4,FALSE),"")</f>
        <v/>
      </c>
      <c r="D13" s="34">
        <f>IFERROR(VLOOKUP($A13,Entradas_Operaciones!$A$4:$W$13,2,FALSE),"")</f>
        <v/>
      </c>
      <c r="E13" s="34">
        <f>IFERROR(VLOOKUP($A13,Entradas_Operaciones!$A$4:$W$13,3,FALSE),"")</f>
        <v/>
      </c>
      <c r="F13" s="37">
        <f>IFERROR(VLOOKUP($A13,Entradas_Operaciones!$A$4:$W$13,15,FALSE),0)</f>
        <v/>
      </c>
      <c r="G13" s="37">
        <f>IFERROR(VLOOKUP($A13,Entradas_Operaciones!$A$4:$W$13,16,FALSE),0)</f>
        <v/>
      </c>
      <c r="H13" s="37">
        <f>IFERROR(VLOOKUP($A13,Entradas_Operaciones!$A$4:$W$13,11,FALSE),0)</f>
        <v/>
      </c>
      <c r="I13" s="37">
        <f>IFERROR(VLOOKUP($A13,Entradas_Operaciones!$A$4:$W$13,12,FALSE),0)</f>
        <v/>
      </c>
      <c r="J13" s="37">
        <f>IFERROR(VLOOKUP($A13,Entradas_Operaciones!$A$4:$W$13,13,FALSE),0)</f>
        <v/>
      </c>
      <c r="K13" s="37">
        <f>IFERROR(VLOOKUP($A13,Entradas_Operaciones!$A$4:$W$13,14,FALSE),0)</f>
        <v/>
      </c>
      <c r="L13" s="38">
        <f>IFERROR(VLOOKUP($A13,Entradas_Operaciones!$A$4:$W$13,20,FALSE),0)</f>
        <v/>
      </c>
      <c r="M13" s="20">
        <f>IFERROR(VLOOKUP($A13,Entradas_Operaciones!$A$4:$W$13,21,FALSE),0)</f>
        <v/>
      </c>
      <c r="N13" s="17">
        <f>IFERROR(VLOOKUP($A13,Entradas_Operaciones!$A$4:$W$13,22,FALSE),"No")</f>
        <v/>
      </c>
      <c r="O13" s="21">
        <f>IFERROR(DATEDIF(D13,E13,"y"),0)</f>
        <v/>
      </c>
      <c r="P13" s="37">
        <f>IFERROR(F13*(H13/(H13+I13)),0)</f>
        <v/>
      </c>
      <c r="Q13" s="37">
        <f>IFERROR(G13*(J13/(J13+K13)),0)</f>
        <v/>
      </c>
      <c r="R13" s="37">
        <f>MAX(0,Q13-P13)</f>
        <v/>
      </c>
      <c r="S13" s="37">
        <f>Q13*L13*O13</f>
        <v/>
      </c>
      <c r="T13" s="37">
        <f>MIN(R13,S13)</f>
        <v/>
      </c>
      <c r="U13" s="37">
        <f>T13*M13</f>
        <v/>
      </c>
      <c r="V13" s="37">
        <f>IF(N13="Sí",U13,0)</f>
        <v/>
      </c>
      <c r="W13" s="37">
        <f>MAX(0,U13-V13)</f>
        <v/>
      </c>
      <c r="X13" s="17">
        <f>IF(W13=0,"No sujeta / Exenta","A pagar")</f>
        <v/>
      </c>
      <c r="Y13" s="37">
        <f>MAX(0,MAX(R13,S13)*M13-V13)</f>
        <v/>
      </c>
      <c r="Z13" s="37">
        <f>Y13-W13</f>
        <v/>
      </c>
    </row>
    <row r="14"/>
    <row r="15">
      <c r="B15" s="22" t="inlineStr">
        <is>
          <t>TOTALES / MEDIAS</t>
        </is>
      </c>
      <c r="U15" s="39">
        <f>SUM(U4:U13)</f>
        <v/>
      </c>
      <c r="W15" s="39">
        <f>SUM(W4:W13)</f>
        <v/>
      </c>
      <c r="Z15" s="39">
        <f>SUM(Z4:Z13)</f>
        <v/>
      </c>
    </row>
  </sheetData>
  <mergeCells count="1">
    <mergeCell ref="A1:Z1"/>
  </mergeCells>
  <conditionalFormatting sqref="X4:X13">
    <cfRule type="expression" priority="1" dxfId="0" stopIfTrue="1">
      <formula>X4="A pagar"</formula>
    </cfRule>
    <cfRule type="expression" priority="2" dxfId="1" stopIfTrue="1">
      <formula>X4="No sujeta / Exenta"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8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26" customHeight="1">
      <c r="A1" s="1" t="inlineStr">
        <is>
          <t>DASHBOARD - IMPACTO FISCAL DE LA PLUSVALÍA MUNICIPAL</t>
        </is>
      </c>
    </row>
    <row r="2"/>
    <row r="3">
      <c r="A3" s="2" t="inlineStr">
        <is>
          <t>Indicadores clave</t>
        </is>
      </c>
    </row>
    <row r="4">
      <c r="A4" s="24" t="inlineStr">
        <is>
          <t>Total de operaciones</t>
        </is>
      </c>
      <c r="B4" s="25" t="n"/>
      <c r="C4" s="26" t="n"/>
      <c r="D4" s="27">
        <f>COUNTA(Cálculo_Plusvalía!A4:A13)</f>
        <v/>
      </c>
    </row>
    <row r="5">
      <c r="A5" s="24" t="inlineStr">
        <is>
          <t>Cuota total plusvalía</t>
        </is>
      </c>
      <c r="B5" s="25" t="n"/>
      <c r="C5" s="26" t="n"/>
      <c r="D5" s="40">
        <f>SUM(Cálculo_Plusvalía!W4:W13)</f>
        <v/>
      </c>
    </row>
    <row r="6">
      <c r="A6" s="24" t="inlineStr">
        <is>
          <t>Cuota media por operación</t>
        </is>
      </c>
      <c r="B6" s="25" t="n"/>
      <c r="C6" s="26" t="n"/>
      <c r="D6" s="40">
        <f>IFERROR(AVERAGE(Cálculo_Plusvalía!W4:W13),0)</f>
        <v/>
      </c>
    </row>
    <row r="7">
      <c r="A7" s="24" t="inlineStr">
        <is>
          <t>Operaciones exentas / no sujetas</t>
        </is>
      </c>
      <c r="B7" s="25" t="n"/>
      <c r="C7" s="26" t="n"/>
      <c r="D7" s="27">
        <f>COUNTIF(Cálculo_Plusvalía!X4:X13,"No sujeta / Exenta")</f>
        <v/>
      </c>
    </row>
    <row r="8">
      <c r="A8" s="24" t="inlineStr">
        <is>
          <t>Ahorro fiscal agregado (método favorable)</t>
        </is>
      </c>
      <c r="B8" s="25" t="n"/>
      <c r="C8" s="26" t="n"/>
      <c r="D8" s="40">
        <f>SUM(Cálculo_Plusvalía!Z4:Z13)</f>
        <v/>
      </c>
    </row>
    <row r="9"/>
    <row r="10"/>
    <row r="11">
      <c r="A11" s="2" t="inlineStr">
        <is>
          <t>Distribución de resultados</t>
        </is>
      </c>
    </row>
    <row r="12">
      <c r="A12" s="29" t="inlineStr">
        <is>
          <t>A pagar</t>
        </is>
      </c>
      <c r="B12" s="12">
        <f>COUNTIF(Cálculo_Plusvalía!X4:X13,"A pagar")</f>
        <v/>
      </c>
    </row>
    <row r="13">
      <c r="A13" s="29" t="inlineStr">
        <is>
          <t>No sujeta / Exenta</t>
        </is>
      </c>
      <c r="B13" s="12">
        <f>COUNTIF(Cálculo_Plusvalía!X4:X13,"No sujeta / Exenta")</f>
        <v/>
      </c>
    </row>
  </sheetData>
  <mergeCells count="6">
    <mergeCell ref="A1:H1"/>
    <mergeCell ref="A4:C4"/>
    <mergeCell ref="A5:C5"/>
    <mergeCell ref="A6:C6"/>
    <mergeCell ref="A7:C7"/>
    <mergeCell ref="A8:C8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 ht="26" customHeight="1">
      <c r="A1" s="1" t="inlineStr">
        <is>
          <t>INSTRUCCIONES DE USO Y AVISOS LEGALES</t>
        </is>
      </c>
    </row>
    <row r="2"/>
    <row r="3">
      <c r="A3" s="2" t="inlineStr">
        <is>
          <t>1. Hoja 'Entradas_Operaciones'</t>
        </is>
      </c>
    </row>
    <row r="4">
      <c r="A4" s="30" t="inlineStr">
        <is>
          <t>• Rellene una fila por cada operación de venta de un inmueble.</t>
        </is>
      </c>
    </row>
    <row r="5">
      <c r="A5" s="30" t="inlineStr">
        <is>
          <t>• Las celdas en amarillo pálido (fechas, valores catastrales, precios, gastos, coeficiente, tipo impositivo y exención) son editables.</t>
        </is>
      </c>
    </row>
    <row r="6">
      <c r="A6" s="30" t="inlineStr">
        <is>
          <t>• El campo 'Exencion_Alegada' se selecciona de una lista desplegable (Sí/No): marque 'Sí' en casos de herencia, dación en pago, pérdida patrimonial acreditada u otras causas de no sujeción/exención.</t>
        </is>
      </c>
    </row>
    <row r="7">
      <c r="A7" s="30" t="inlineStr">
        <is>
          <t>• La 'Referencia_Catastral' y el 'NIF' deben corresponder a datos reales del inmueble y del vendedor.</t>
        </is>
      </c>
    </row>
    <row r="8"/>
    <row r="9">
      <c r="A9" s="2" t="inlineStr">
        <is>
          <t>2. Hoja 'Cálculo_Plusvalía'</t>
        </is>
      </c>
    </row>
    <row r="10">
      <c r="A10" s="30" t="inlineStr">
        <is>
          <t>• Los datos de cada operación se recuperan automáticamente desde 'Entradas_Operaciones' mediante VLOOKUP a partir del ID_Operacion.</t>
        </is>
      </c>
    </row>
    <row r="11">
      <c r="A11" s="30" t="inlineStr">
        <is>
          <t>• Se calcula el 'Valor_Suelo_Proporcional' aplicando la proporción del valor catastral del suelo sobre el valor catastral total, tanto en la compra como en la venta.</t>
        </is>
      </c>
    </row>
    <row r="12">
      <c r="A12" s="30" t="inlineStr">
        <is>
          <t>• El 'Incremento_Imponible_Real' es la diferencia entre el valor de suelo proporcional de venta y de compra (método real, ganancia efectiva).</t>
        </is>
      </c>
    </row>
    <row r="13">
      <c r="A13" s="30" t="inlineStr">
        <is>
          <t>• La 'Base_Imponible_Objetivo' aplica el coeficiente municipal anual y los años de posesión (método objetivo, art. 107 TRLHL).</t>
        </is>
      </c>
    </row>
    <row r="14">
      <c r="A14" s="30" t="inlineStr">
        <is>
          <t>• El 'Importe_Base_Aplicable' toma el menor de ambos métodos, conforme a la regla de no tributar por un importe superior al incremento real.</t>
        </is>
      </c>
    </row>
    <row r="15">
      <c r="A15" s="30" t="inlineStr">
        <is>
          <t>• La 'Cuota_Final' resta la bonificación o exención cuando el contribuyente la ha alegado y acreditado.</t>
        </is>
      </c>
    </row>
    <row r="16">
      <c r="A16" s="30" t="inlineStr">
        <is>
          <t>• El 'Ahorro_Fiscal' compara la cuota resultante frente al método menos favorable.</t>
        </is>
      </c>
    </row>
    <row r="17"/>
    <row r="18">
      <c r="A18" s="2" t="inlineStr">
        <is>
          <t>3. Hoja 'Dashboard'</t>
        </is>
      </c>
    </row>
    <row r="19">
      <c r="A19" s="30" t="inlineStr">
        <is>
          <t>• Muestra indicadores clave: número de operaciones, cuota total, cuota media, operaciones exentas y ahorro fiscal agregado.</t>
        </is>
      </c>
    </row>
    <row r="20">
      <c r="A20" s="30" t="inlineStr">
        <is>
          <t>• Incluye gráficos de barras (cuota por vendedor), circular (a pagar vs exenta) y de líneas (evolución temporal).</t>
        </is>
      </c>
    </row>
    <row r="21"/>
    <row r="22">
      <c r="A22" s="2" t="inlineStr">
        <is>
          <t>Conceptos clave</t>
        </is>
      </c>
    </row>
    <row r="23">
      <c r="A23" s="30" t="inlineStr">
        <is>
          <t>• Plusvalía municipal (IIVTNU): impuesto que grava el incremento de valor de los terrenos de naturaleza urbana al transmitirse.</t>
        </is>
      </c>
    </row>
    <row r="24">
      <c r="A24" s="30" t="inlineStr">
        <is>
          <t>• Valor catastral del suelo: parte del valor catastral total que corresponde al terreno, excluyendo la construcción.</t>
        </is>
      </c>
    </row>
    <row r="25">
      <c r="A25" s="30" t="inlineStr">
        <is>
          <t>• Plazo de tenencia: número de años completos entre la fecha de adquisición y la fecha de transmisión del inmueble.</t>
        </is>
      </c>
    </row>
    <row r="26">
      <c r="A26" s="30" t="inlineStr">
        <is>
          <t>• No sujeción: si se acredita que no ha existido incremento de valor real, la operación no está sujeta al impuesto.</t>
        </is>
      </c>
    </row>
    <row r="27">
      <c r="A27" s="30" t="inlineStr">
        <is>
          <t>• Método real vs método objetivo: el contribuyente puede optar por tributar por el incremento real o por el cálculo objetivo (valor catastral x coeficiente x años), aplicándose el más favorable.</t>
        </is>
      </c>
    </row>
    <row r="28"/>
    <row r="29">
      <c r="A29" s="2" t="inlineStr">
        <is>
          <t>Aviso legal</t>
        </is>
      </c>
    </row>
    <row r="30">
      <c r="A30" s="30" t="inlineStr">
        <is>
          <t>• Este archivo es una herramienta de cálculo orientativa y no sustituye el asesoramiento fiscal profesional.</t>
        </is>
      </c>
    </row>
    <row r="31">
      <c r="A31" s="30" t="inlineStr">
        <is>
          <t>• Los coeficientes y tipos impositivos varían según la ordenanza fiscal de cada ayuntamiento y deben verificarse cada ejercicio.</t>
        </is>
      </c>
    </row>
    <row r="32">
      <c r="A32" s="30" t="inlineStr">
        <is>
          <t>• Consulte siempre la normativa vigente (Real Decreto Legislativo 2/2004 y modificaciones posteriores) y la ordenanza municipal aplicable antes de presentar la autoliquidación.</t>
        </is>
      </c>
    </row>
  </sheetData>
  <mergeCells count="22">
    <mergeCell ref="A1:F1"/>
    <mergeCell ref="A4:F4"/>
    <mergeCell ref="A5:F5"/>
    <mergeCell ref="A6:F6"/>
    <mergeCell ref="A7:F7"/>
    <mergeCell ref="A10:F10"/>
    <mergeCell ref="A11:F11"/>
    <mergeCell ref="A12:F12"/>
    <mergeCell ref="A13:F13"/>
    <mergeCell ref="A14:F14"/>
    <mergeCell ref="A15:F15"/>
    <mergeCell ref="A16:F16"/>
    <mergeCell ref="A19:F19"/>
    <mergeCell ref="A20:F20"/>
    <mergeCell ref="A23:F23"/>
    <mergeCell ref="A24:F24"/>
    <mergeCell ref="A25:F25"/>
    <mergeCell ref="A26:F26"/>
    <mergeCell ref="A27:F27"/>
    <mergeCell ref="A30:F30"/>
    <mergeCell ref="A31:F31"/>
    <mergeCell ref="A32:F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2026-07-14T04:13:26Z</dcterms:created>
  <dcterms:modified xmlns:dcterms="http://purl.org/dc/terms/" xmlns:xsi="http://www.w3.org/2001/XMLSchema-instance" xsi:type="dcterms:W3CDTF">2026-07-14T04:13:26Z</dcterms:modified>
</cp:coreProperties>
</file>