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a_Junta" sheetId="1" state="visible" r:id="rId1"/>
    <sheet xmlns:r="http://schemas.openxmlformats.org/officeDocument/2006/relationships" name="Asistentes_y_Cuotas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0,00&quot;%&quot;"/>
    <numFmt numFmtId="166" formatCode="#.##0,00 &quot;€&quot;"/>
    <numFmt numFmtId="167" formatCode="0,00%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sz val="10"/>
    </font>
    <font>
      <b val="1"/>
      <sz val="10"/>
    </font>
    <font>
      <b val="1"/>
      <color rgb="0016A34A"/>
      <sz val="10"/>
    </font>
    <font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C8102E"/>
        <bgColor rgb="00C8102E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 vertical="center" wrapText="1"/>
    </xf>
    <xf numFmtId="0" fontId="2" fillId="2" borderId="0" pivotButton="0" quotePrefix="0" xfId="0"/>
    <xf numFmtId="164" fontId="2" fillId="2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center" vertical="center" wrapText="1"/>
    </xf>
    <xf numFmtId="166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6" fontId="0" fillId="6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166" fontId="4" fillId="0" borderId="1" pivotButton="0" quotePrefix="0" xfId="0"/>
    <xf numFmtId="165" fontId="0" fillId="0" borderId="0" pivotButton="0" quotePrefix="0" xfId="0"/>
    <xf numFmtId="167" fontId="0" fillId="0" borderId="0" pivotButton="0" quotePrefix="0" xfId="0"/>
    <xf numFmtId="166" fontId="0" fillId="5" borderId="1" pivotButton="0" quotePrefix="0" xfId="0"/>
    <xf numFmtId="167" fontId="0" fillId="5" borderId="1" pivotButton="0" quotePrefix="0" xfId="0"/>
    <xf numFmtId="166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6" fontId="0" fillId="6" borderId="1" applyAlignment="1" pivotButton="0" quotePrefix="0" xfId="0">
      <alignment horizontal="center" vertical="center" wrapText="1"/>
    </xf>
    <xf numFmtId="165" fontId="4" fillId="0" borderId="1" pivotButton="0" quotePrefix="0" xfId="0"/>
    <xf numFmtId="0" fontId="4" fillId="4" borderId="1" pivotButton="0" quotePrefix="0" xfId="0"/>
    <xf numFmtId="0" fontId="4" fillId="0" borderId="1" pivotButton="0" quotePrefix="0" xfId="0"/>
    <xf numFmtId="167" fontId="4" fillId="0" borderId="1" pivotButton="0" quotePrefix="0" xfId="0"/>
    <xf numFmtId="0" fontId="2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4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2" fillId="2" borderId="0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6" fontId="0" fillId="4" borderId="1" pivotButton="0" quotePrefix="0" xfId="0"/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6" fontId="0" fillId="6" borderId="1" pivotButton="0" quotePrefix="0" xfId="0"/>
    <xf numFmtId="166" fontId="4" fillId="0" borderId="1" pivotButton="0" quotePrefix="0" xfId="0"/>
    <xf numFmtId="165" fontId="0" fillId="0" borderId="0" pivotButton="0" quotePrefix="0" xfId="0"/>
    <xf numFmtId="167" fontId="0" fillId="0" borderId="0" pivotButton="0" quotePrefix="0" xfId="0"/>
    <xf numFmtId="166" fontId="0" fillId="5" borderId="1" pivotButton="0" quotePrefix="0" xfId="0"/>
    <xf numFmtId="167" fontId="0" fillId="5" borderId="1" pivotButton="0" quotePrefix="0" xfId="0"/>
    <xf numFmtId="166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6" fontId="0" fillId="6" borderId="1" applyAlignment="1" pivotButton="0" quotePrefix="0" xfId="0">
      <alignment horizontal="center" vertical="center" wrapText="1"/>
    </xf>
    <xf numFmtId="165" fontId="4" fillId="0" borderId="1" pivotButton="0" quotePrefix="0" xfId="0"/>
    <xf numFmtId="167" fontId="4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  <sz val="10"/>
      </font>
      <fill>
        <patternFill patternType="solid">
          <fgColor rgb="00DCFCE7"/>
          <bgColor rgb="00DCFCE7"/>
        </patternFill>
      </fill>
    </dxf>
    <dxf>
      <font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Votos por punto del orden del día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'Resumen'!C30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'Resumen'!$B$31:$B$33</f>
            </numRef>
          </cat>
          <val>
            <numRef>
              <f>'Resumen'!$C$31:$C$33</f>
            </numRef>
          </val>
        </ser>
        <ser>
          <idx val="1"/>
          <order val="1"/>
          <tx>
            <strRef>
              <f>'Resumen'!D30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'Resumen'!$B$31:$B$33</f>
            </numRef>
          </cat>
          <val>
            <numRef>
              <f>'Resumen'!$D$31:$D$33</f>
            </numRef>
          </val>
        </ser>
        <ser>
          <idx val="2"/>
          <order val="2"/>
          <tx>
            <strRef>
              <f>'Resumen'!E30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'Resumen'!$B$31:$B$33</f>
            </numRef>
          </cat>
          <val>
            <numRef>
              <f>'Resumen'!$E$31:$E$33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Punto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votos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votos</a:t>
            </a:r>
          </a:p>
        </rich>
      </tx>
    </title>
    <plotArea>
      <pieChart>
        <varyColors val="1"/>
        <ser>
          <idx val="0"/>
          <order val="0"/>
          <tx>
            <strRef>
              <f>'Resumen'!C36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'Resumen'!$B$37:$B$39</f>
            </numRef>
          </cat>
          <val>
            <numRef>
              <f>'Resumen'!$C$37:$C$39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Coeficiente asistente vs no asistente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'Resumen'!C42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'Resumen'!$B$43:$B$44</f>
            </numRef>
          </cat>
          <val>
            <numRef>
              <f>'Resumen'!$C$43:$C$44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Coeficiente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38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5" customWidth="1" min="3" max="3"/>
    <col width="18" customWidth="1" min="4" max="4"/>
    <col width="12" customWidth="1" min="5" max="5"/>
    <col width="12" customWidth="1" min="6" max="6"/>
    <col width="14" customWidth="1" min="7" max="7"/>
    <col width="12" customWidth="1" min="8" max="8"/>
    <col width="16" customWidth="1" min="9" max="9"/>
    <col width="12" customWidth="1" min="10" max="10"/>
    <col width="20" customWidth="1" min="11" max="11"/>
    <col width="14" customWidth="1" min="12" max="12"/>
    <col width="15" customWidth="1" min="13" max="13"/>
    <col width="16" customWidth="1" min="14" max="14"/>
    <col width="14" customWidth="1" min="15" max="15"/>
    <col width="16" customWidth="1" min="16" max="16"/>
  </cols>
  <sheetData>
    <row r="1" ht="26" customHeight="1">
      <c r="A1" s="1" t="inlineStr">
        <is>
          <t>ACTA DE JUNTA DE PROPIETARIOS - COMUNIDAD DE VECINOS</t>
        </is>
      </c>
    </row>
    <row r="2" ht="20" customHeight="1">
      <c r="A2" s="2" t="inlineStr">
        <is>
          <t>Comunidad:</t>
        </is>
      </c>
      <c r="B2" s="2" t="inlineStr">
        <is>
          <t>Residencial Los Álamos, Calle Mayor 12, Madrid</t>
        </is>
      </c>
      <c r="F2" s="2" t="inlineStr">
        <is>
          <t>Fecha:</t>
        </is>
      </c>
      <c r="G2" s="40" t="n">
        <v>46217</v>
      </c>
      <c r="H2" s="2" t="inlineStr">
        <is>
          <t>Hora:</t>
        </is>
      </c>
      <c r="I2" s="2" t="inlineStr">
        <is>
          <t>18:30</t>
        </is>
      </c>
      <c r="J2" s="2" t="inlineStr">
        <is>
          <t>Lugar:</t>
        </is>
      </c>
      <c r="K2" s="2" t="inlineStr">
        <is>
          <t>Sala Comunitaria</t>
        </is>
      </c>
    </row>
    <row r="3" ht="6" customHeight="1"/>
    <row r="4" ht="34" customHeight="1">
      <c r="A4" s="5" t="inlineStr">
        <is>
          <t>Nº Punto</t>
        </is>
      </c>
      <c r="B4" s="5" t="inlineStr">
        <is>
          <t>Orden del día</t>
        </is>
      </c>
      <c r="C4" s="5" t="inlineStr">
        <is>
          <t>Tipo de acuerdo</t>
        </is>
      </c>
      <c r="D4" s="5" t="inlineStr">
        <is>
          <t>Propietario</t>
        </is>
      </c>
      <c r="E4" s="5" t="inlineStr">
        <is>
          <t>Vivienda/Local</t>
        </is>
      </c>
      <c r="F4" s="5" t="inlineStr">
        <is>
          <t>NIF</t>
        </is>
      </c>
      <c r="G4" s="5" t="inlineStr">
        <is>
          <t>Coeficiente participación (%)</t>
        </is>
      </c>
      <c r="H4" s="5" t="inlineStr">
        <is>
          <t>Asiste (Sí/No)</t>
        </is>
      </c>
      <c r="I4" s="5" t="inlineStr">
        <is>
          <t>Representado por</t>
        </is>
      </c>
      <c r="J4" s="5" t="inlineStr">
        <is>
          <t>Voto</t>
        </is>
      </c>
      <c r="K4" s="5" t="inlineStr">
        <is>
          <t>Observaciones</t>
        </is>
      </c>
      <c r="L4" s="5" t="inlineStr">
        <is>
          <t>Cuota mensual (€)</t>
        </is>
      </c>
      <c r="M4" s="5" t="inlineStr">
        <is>
          <t>Derrama aprobada (€)</t>
        </is>
      </c>
      <c r="N4" s="5" t="inlineStr">
        <is>
          <t>Importe total a repartir (€)</t>
        </is>
      </c>
      <c r="O4" s="5" t="inlineStr">
        <is>
          <t>Mayoría válida (Sí/No)</t>
        </is>
      </c>
      <c r="P4" s="5" t="inlineStr">
        <is>
          <t>Resultado del punto</t>
        </is>
      </c>
    </row>
    <row r="5">
      <c r="A5" s="6" t="n">
        <v>1</v>
      </c>
      <c r="B5" s="7" t="inlineStr">
        <is>
          <t>Aprobación de cuentas anuales 2026</t>
        </is>
      </c>
      <c r="C5" s="6" t="inlineStr">
        <is>
          <t>Ordinario</t>
        </is>
      </c>
      <c r="D5" s="7" t="inlineStr">
        <is>
          <t>María García</t>
        </is>
      </c>
      <c r="E5" s="6" t="inlineStr">
        <is>
          <t>3ºB</t>
        </is>
      </c>
      <c r="F5" s="6" t="inlineStr">
        <is>
          <t>12345678Z</t>
        </is>
      </c>
      <c r="G5" s="41" t="n">
        <v>11.5</v>
      </c>
      <c r="H5" s="9" t="inlineStr">
        <is>
          <t>Sí</t>
        </is>
      </c>
      <c r="I5" s="10" t="inlineStr"/>
      <c r="J5" s="9" t="inlineStr">
        <is>
          <t>Sí</t>
        </is>
      </c>
      <c r="K5" s="10" t="inlineStr">
        <is>
          <t>Sin incidencias</t>
        </is>
      </c>
      <c r="L5" s="42" t="n">
        <v>85.5</v>
      </c>
      <c r="M5" s="42" t="n">
        <v>0</v>
      </c>
      <c r="N5" s="43">
        <f>L5+M5</f>
        <v/>
      </c>
      <c r="O5" s="13">
        <f>IF(AND(H5="Sí",J5&lt;&gt;"Abstención"),"Sí","No")</f>
        <v/>
      </c>
      <c r="P5" s="13">
        <f>IF(IFERROR(SUMIFS($G$5:$G$13,$A$5:$A$13,A5,$J$5:$J$13,"Sí")/SUMIFS($G$5:$G$13,$A$5:$A$13,A5,$H$5:$H$13,"Sí"),0)&gt;0.5,"Aprobado","Rechazado")</f>
        <v/>
      </c>
    </row>
    <row r="6">
      <c r="A6" s="14" t="n">
        <v>1</v>
      </c>
      <c r="B6" s="15" t="inlineStr">
        <is>
          <t>Aprobación de cuentas anuales 2026</t>
        </is>
      </c>
      <c r="C6" s="14" t="inlineStr">
        <is>
          <t>Ordinario</t>
        </is>
      </c>
      <c r="D6" s="15" t="inlineStr">
        <is>
          <t>Antonio López</t>
        </is>
      </c>
      <c r="E6" s="14" t="inlineStr">
        <is>
          <t>1ºA</t>
        </is>
      </c>
      <c r="F6" s="14" t="inlineStr">
        <is>
          <t>23456789X</t>
        </is>
      </c>
      <c r="G6" s="44" t="n">
        <v>9.25</v>
      </c>
      <c r="H6" s="9" t="inlineStr">
        <is>
          <t>Sí</t>
        </is>
      </c>
      <c r="I6" s="10" t="inlineStr"/>
      <c r="J6" s="9" t="inlineStr">
        <is>
          <t>Sí</t>
        </is>
      </c>
      <c r="K6" s="10" t="inlineStr"/>
      <c r="L6" s="45" t="n">
        <v>68.75</v>
      </c>
      <c r="M6" s="45" t="n">
        <v>0</v>
      </c>
      <c r="N6" s="46">
        <f>L6+M6</f>
        <v/>
      </c>
      <c r="O6" s="19">
        <f>IF(AND(H6="Sí",J6&lt;&gt;"Abstención"),"Sí","No")</f>
        <v/>
      </c>
      <c r="P6" s="19">
        <f>IF(IFERROR(SUMIFS($G$5:$G$13,$A$5:$A$13,A6,$J$5:$J$13,"Sí")/SUMIFS($G$5:$G$13,$A$5:$A$13,A6,$H$5:$H$13,"Sí"),0)&gt;0.5,"Aprobado","Rechazado")</f>
        <v/>
      </c>
    </row>
    <row r="7">
      <c r="A7" s="6" t="n">
        <v>1</v>
      </c>
      <c r="B7" s="7" t="inlineStr">
        <is>
          <t>Aprobación de cuentas anuales 2026</t>
        </is>
      </c>
      <c r="C7" s="6" t="inlineStr">
        <is>
          <t>Ordinario</t>
        </is>
      </c>
      <c r="D7" s="7" t="inlineStr">
        <is>
          <t>Carmen Ruiz</t>
        </is>
      </c>
      <c r="E7" s="6" t="inlineStr">
        <is>
          <t>2ºC</t>
        </is>
      </c>
      <c r="F7" s="6" t="inlineStr">
        <is>
          <t>34567890Y</t>
        </is>
      </c>
      <c r="G7" s="41" t="n">
        <v>8</v>
      </c>
      <c r="H7" s="9" t="inlineStr">
        <is>
          <t>No</t>
        </is>
      </c>
      <c r="I7" s="10" t="inlineStr">
        <is>
          <t>Isabel Navarro</t>
        </is>
      </c>
      <c r="J7" s="9" t="inlineStr">
        <is>
          <t>Abstención</t>
        </is>
      </c>
      <c r="K7" s="10" t="inlineStr">
        <is>
          <t>Delega voto</t>
        </is>
      </c>
      <c r="L7" s="42" t="n">
        <v>59.4</v>
      </c>
      <c r="M7" s="42" t="n">
        <v>0</v>
      </c>
      <c r="N7" s="43">
        <f>L7+M7</f>
        <v/>
      </c>
      <c r="O7" s="13">
        <f>IF(AND(H7="Sí",J7&lt;&gt;"Abstención"),"Sí","No")</f>
        <v/>
      </c>
      <c r="P7" s="13">
        <f>IF(IFERROR(SUMIFS($G$5:$G$13,$A$5:$A$13,A7,$J$5:$J$13,"Sí")/SUMIFS($G$5:$G$13,$A$5:$A$13,A7,$H$5:$H$13,"Sí"),0)&gt;0.5,"Aprobado","Rechazado")</f>
        <v/>
      </c>
    </row>
    <row r="8">
      <c r="A8" s="14" t="n">
        <v>2</v>
      </c>
      <c r="B8" s="15" t="inlineStr">
        <is>
          <t>Obras de reparación de ascensor</t>
        </is>
      </c>
      <c r="C8" s="14" t="inlineStr">
        <is>
          <t>Extraordinario</t>
        </is>
      </c>
      <c r="D8" s="15" t="inlineStr">
        <is>
          <t>José Martínez</t>
        </is>
      </c>
      <c r="E8" s="14" t="inlineStr">
        <is>
          <t>4ºD</t>
        </is>
      </c>
      <c r="F8" s="14" t="inlineStr">
        <is>
          <t>45678901Z</t>
        </is>
      </c>
      <c r="G8" s="44" t="n">
        <v>14.75</v>
      </c>
      <c r="H8" s="9" t="inlineStr">
        <is>
          <t>Sí</t>
        </is>
      </c>
      <c r="I8" s="10" t="inlineStr"/>
      <c r="J8" s="9" t="inlineStr">
        <is>
          <t>Sí</t>
        </is>
      </c>
      <c r="K8" s="10" t="inlineStr">
        <is>
          <t>Urgente</t>
        </is>
      </c>
      <c r="L8" s="45" t="n">
        <v>109.55</v>
      </c>
      <c r="M8" s="45" t="n">
        <v>450</v>
      </c>
      <c r="N8" s="46">
        <f>L8+M8</f>
        <v/>
      </c>
      <c r="O8" s="19">
        <f>IF(AND(H8="Sí",J8&lt;&gt;"Abstención"),"Sí","No")</f>
        <v/>
      </c>
      <c r="P8" s="19">
        <f>IF(IFERROR(SUMIFS($G$5:$G$13,$A$5:$A$13,A8,$J$5:$J$13,"Sí")/SUMIFS($G$5:$G$13,$A$5:$A$13,A8,$H$5:$H$13,"Sí"),0)&gt;0.5,"Aprobado","Rechazado")</f>
        <v/>
      </c>
    </row>
    <row r="9">
      <c r="A9" s="6" t="n">
        <v>2</v>
      </c>
      <c r="B9" s="7" t="inlineStr">
        <is>
          <t>Obras de reparación de ascensor</t>
        </is>
      </c>
      <c r="C9" s="6" t="inlineStr">
        <is>
          <t>Extraordinario</t>
        </is>
      </c>
      <c r="D9" s="7" t="inlineStr">
        <is>
          <t>Laura Fernández</t>
        </is>
      </c>
      <c r="E9" s="6" t="inlineStr">
        <is>
          <t>1ºA</t>
        </is>
      </c>
      <c r="F9" s="6" t="inlineStr">
        <is>
          <t>56789012X</t>
        </is>
      </c>
      <c r="G9" s="41" t="n">
        <v>6.5</v>
      </c>
      <c r="H9" s="9" t="inlineStr">
        <is>
          <t>Sí</t>
        </is>
      </c>
      <c r="I9" s="10" t="inlineStr"/>
      <c r="J9" s="9" t="inlineStr">
        <is>
          <t>No</t>
        </is>
      </c>
      <c r="K9" s="10" t="inlineStr">
        <is>
          <t>Coste elevado</t>
        </is>
      </c>
      <c r="L9" s="42" t="n">
        <v>48.3</v>
      </c>
      <c r="M9" s="42" t="n">
        <v>198.25</v>
      </c>
      <c r="N9" s="43">
        <f>L9+M9</f>
        <v/>
      </c>
      <c r="O9" s="13">
        <f>IF(AND(H9="Sí",J9&lt;&gt;"Abstención"),"Sí","No")</f>
        <v/>
      </c>
      <c r="P9" s="13">
        <f>IF(IFERROR(SUMIFS($G$5:$G$13,$A$5:$A$13,A9,$J$5:$J$13,"Sí")/SUMIFS($G$5:$G$13,$A$5:$A$13,A9,$H$5:$H$13,"Sí"),0)&gt;0.5,"Aprobado","Rechazado")</f>
        <v/>
      </c>
    </row>
    <row r="10">
      <c r="A10" s="14" t="n">
        <v>2</v>
      </c>
      <c r="B10" s="15" t="inlineStr">
        <is>
          <t>Obras de reparación de ascensor</t>
        </is>
      </c>
      <c r="C10" s="14" t="inlineStr">
        <is>
          <t>Extraordinario</t>
        </is>
      </c>
      <c r="D10" s="15" t="inlineStr">
        <is>
          <t>Manuel Sánchez</t>
        </is>
      </c>
      <c r="E10" s="14" t="inlineStr">
        <is>
          <t>2ºC</t>
        </is>
      </c>
      <c r="F10" s="14" t="inlineStr">
        <is>
          <t>67890123Y</t>
        </is>
      </c>
      <c r="G10" s="44" t="n">
        <v>18.75</v>
      </c>
      <c r="H10" s="9" t="inlineStr">
        <is>
          <t>Sí</t>
        </is>
      </c>
      <c r="I10" s="10" t="inlineStr"/>
      <c r="J10" s="9" t="inlineStr">
        <is>
          <t>Sí</t>
        </is>
      </c>
      <c r="K10" s="10" t="inlineStr"/>
      <c r="L10" s="45" t="n">
        <v>139.35</v>
      </c>
      <c r="M10" s="45" t="n">
        <v>570.75</v>
      </c>
      <c r="N10" s="46">
        <f>L10+M10</f>
        <v/>
      </c>
      <c r="O10" s="19">
        <f>IF(AND(H10="Sí",J10&lt;&gt;"Abstención"),"Sí","No")</f>
        <v/>
      </c>
      <c r="P10" s="19">
        <f>IF(IFERROR(SUMIFS($G$5:$G$13,$A$5:$A$13,A10,$J$5:$J$13,"Sí")/SUMIFS($G$5:$G$13,$A$5:$A$13,A10,$H$5:$H$13,"Sí"),0)&gt;0.5,"Aprobado","Rechazado")</f>
        <v/>
      </c>
    </row>
    <row r="11">
      <c r="A11" s="6" t="n">
        <v>3</v>
      </c>
      <c r="B11" s="7" t="inlineStr">
        <is>
          <t>Derrama para reforma de fachada</t>
        </is>
      </c>
      <c r="C11" s="6" t="inlineStr">
        <is>
          <t>Extraordinario</t>
        </is>
      </c>
      <c r="D11" s="7" t="inlineStr">
        <is>
          <t>Ana Torres</t>
        </is>
      </c>
      <c r="E11" s="6" t="inlineStr">
        <is>
          <t>Bajo A</t>
        </is>
      </c>
      <c r="F11" s="6" t="inlineStr">
        <is>
          <t>78901234Z</t>
        </is>
      </c>
      <c r="G11" s="41" t="n">
        <v>5.75</v>
      </c>
      <c r="H11" s="9" t="inlineStr">
        <is>
          <t>No</t>
        </is>
      </c>
      <c r="I11" s="10" t="inlineStr">
        <is>
          <t>María García</t>
        </is>
      </c>
      <c r="J11" s="9" t="inlineStr">
        <is>
          <t>Sí</t>
        </is>
      </c>
      <c r="K11" s="10" t="inlineStr">
        <is>
          <t>Delega voto</t>
        </is>
      </c>
      <c r="L11" s="42" t="n">
        <v>42.75</v>
      </c>
      <c r="M11" s="42" t="n">
        <v>220.5</v>
      </c>
      <c r="N11" s="43">
        <f>L11+M11</f>
        <v/>
      </c>
      <c r="O11" s="13">
        <f>IF(AND(H11="Sí",J11&lt;&gt;"Abstención"),"Sí","No")</f>
        <v/>
      </c>
      <c r="P11" s="13">
        <f>IF(IFERROR(SUMIFS($G$5:$G$13,$A$5:$A$13,A11,$J$5:$J$13,"Sí")/SUMIFS($G$5:$G$13,$A$5:$A$13,A11,$H$5:$H$13,"Sí"),0)&gt;0.5,"Aprobado","Rechazado")</f>
        <v/>
      </c>
    </row>
    <row r="12">
      <c r="A12" s="14" t="n">
        <v>3</v>
      </c>
      <c r="B12" s="15" t="inlineStr">
        <is>
          <t>Derrama para reforma de fachada</t>
        </is>
      </c>
      <c r="C12" s="14" t="inlineStr">
        <is>
          <t>Extraordinario</t>
        </is>
      </c>
      <c r="D12" s="15" t="inlineStr">
        <is>
          <t>Pedro Gómez</t>
        </is>
      </c>
      <c r="E12" s="14" t="inlineStr">
        <is>
          <t>4ºD</t>
        </is>
      </c>
      <c r="F12" s="14" t="inlineStr">
        <is>
          <t>89012345X</t>
        </is>
      </c>
      <c r="G12" s="44" t="n">
        <v>12.25</v>
      </c>
      <c r="H12" s="9" t="inlineStr">
        <is>
          <t>Sí</t>
        </is>
      </c>
      <c r="I12" s="10" t="inlineStr"/>
      <c r="J12" s="9" t="inlineStr">
        <is>
          <t>Sí</t>
        </is>
      </c>
      <c r="K12" s="10" t="inlineStr"/>
      <c r="L12" s="45" t="n">
        <v>91.09999999999999</v>
      </c>
      <c r="M12" s="45" t="n">
        <v>470</v>
      </c>
      <c r="N12" s="46">
        <f>L12+M12</f>
        <v/>
      </c>
      <c r="O12" s="19">
        <f>IF(AND(H12="Sí",J12&lt;&gt;"Abstención"),"Sí","No")</f>
        <v/>
      </c>
      <c r="P12" s="19">
        <f>IF(IFERROR(SUMIFS($G$5:$G$13,$A$5:$A$13,A12,$J$5:$J$13,"Sí")/SUMIFS($G$5:$G$13,$A$5:$A$13,A12,$H$5:$H$13,"Sí"),0)&gt;0.5,"Aprobado","Rechazado")</f>
        <v/>
      </c>
    </row>
    <row r="13">
      <c r="A13" s="6" t="n">
        <v>3</v>
      </c>
      <c r="B13" s="7" t="inlineStr">
        <is>
          <t>Derrama para reforma de fachada</t>
        </is>
      </c>
      <c r="C13" s="6" t="inlineStr">
        <is>
          <t>Extraordinario</t>
        </is>
      </c>
      <c r="D13" s="7" t="inlineStr">
        <is>
          <t>Isabel Navarro</t>
        </is>
      </c>
      <c r="E13" s="6" t="inlineStr">
        <is>
          <t>3ºB</t>
        </is>
      </c>
      <c r="F13" s="6" t="inlineStr">
        <is>
          <t>90123456Y</t>
        </is>
      </c>
      <c r="G13" s="41" t="n">
        <v>4.5</v>
      </c>
      <c r="H13" s="9" t="inlineStr">
        <is>
          <t>Sí</t>
        </is>
      </c>
      <c r="I13" s="10" t="inlineStr"/>
      <c r="J13" s="9" t="inlineStr">
        <is>
          <t>No</t>
        </is>
      </c>
      <c r="K13" s="10" t="inlineStr">
        <is>
          <t>Coste elevado</t>
        </is>
      </c>
      <c r="L13" s="42" t="n">
        <v>33.45</v>
      </c>
      <c r="M13" s="42" t="n">
        <v>172.6</v>
      </c>
      <c r="N13" s="43">
        <f>L13+M13</f>
        <v/>
      </c>
      <c r="O13" s="13">
        <f>IF(AND(H13="Sí",J13&lt;&gt;"Abstención"),"Sí","No")</f>
        <v/>
      </c>
      <c r="P13" s="13">
        <f>IF(IFERROR(SUMIFS($G$5:$G$13,$A$5:$A$13,A13,$J$5:$J$13,"Sí")/SUMIFS($G$5:$G$13,$A$5:$A$13,A13,$H$5:$H$13,"Sí"),0)&gt;0.5,"Aprobado","Rechazado")</f>
        <v/>
      </c>
    </row>
    <row r="14"/>
    <row r="15">
      <c r="D15" s="20" t="inlineStr">
        <is>
          <t>TOTALES / MEDIAS</t>
        </is>
      </c>
      <c r="L15" s="47">
        <f>SUM(L5:L13)</f>
        <v/>
      </c>
      <c r="M15" s="47">
        <f>SUM(M5:M13)</f>
        <v/>
      </c>
      <c r="N15" s="47">
        <f>SUM(N5:N13)</f>
        <v/>
      </c>
    </row>
    <row r="16">
      <c r="D16" s="20" t="inlineStr">
        <is>
          <t>Nº de asistentes:</t>
        </is>
      </c>
      <c r="F16" s="20">
        <f>COUNTIF(H5:H13,"Sí")</f>
        <v/>
      </c>
    </row>
    <row r="17">
      <c r="D17" s="20" t="inlineStr">
        <is>
          <t>Media coeficiente asistentes (%):</t>
        </is>
      </c>
      <c r="F17" s="48">
        <f>IFERROR(SUMIF(H5:H13,"Sí",G5:G13)/COUNTIF(H5:H13,"Sí"),0)</f>
        <v/>
      </c>
    </row>
    <row r="18">
      <c r="D18" s="20" t="inlineStr">
        <is>
          <t>% votos favorables sobre coeficiente total:</t>
        </is>
      </c>
      <c r="F18" s="49">
        <f>IFERROR(SUMIF(J5:J13,"Sí",G5:G13)/SUM(G5:G13),0)</f>
        <v/>
      </c>
    </row>
  </sheetData>
  <mergeCells count="3">
    <mergeCell ref="A1:P1"/>
    <mergeCell ref="B2:E2"/>
    <mergeCell ref="K2:P2"/>
  </mergeCells>
  <conditionalFormatting sqref="P5:P13">
    <cfRule type="expression" priority="1" dxfId="0" stopIfTrue="1">
      <formula>P5="Aprobado"</formula>
    </cfRule>
    <cfRule type="expression" priority="2" dxfId="1" stopIfTrue="1">
      <formula>P5="Rechazado"</formula>
    </cfRule>
  </conditionalFormatting>
  <dataValidations count="2">
    <dataValidation sqref="H5:H13" showErrorMessage="1" showInputMessage="1" allowBlank="1" type="list">
      <formula1>"Sí,No"</formula1>
    </dataValidation>
    <dataValidation sqref="J5:J13" showErrorMessage="1" showInputMessage="1" allowBlank="1" type="list">
      <formula1>"Sí,No,Abstención"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14" customWidth="1" min="4" max="4"/>
    <col width="30" customWidth="1" min="5" max="5"/>
    <col width="14" customWidth="1" min="6" max="6"/>
    <col width="16" customWidth="1" min="7" max="7"/>
    <col width="16" customWidth="1" min="8" max="8"/>
    <col width="18" customWidth="1" min="9" max="9"/>
    <col width="12" customWidth="1" min="10" max="10"/>
    <col width="16" customWidth="1" min="11" max="11"/>
    <col width="14" customWidth="1" min="12" max="12"/>
    <col width="26" customWidth="1" min="13" max="13"/>
  </cols>
  <sheetData>
    <row r="1" ht="26" customHeight="1">
      <c r="A1" s="1" t="inlineStr">
        <is>
          <t>BASE DE DATOS DE PROPIETARIOS Y CUOTAS</t>
        </is>
      </c>
    </row>
    <row r="2">
      <c r="A2" s="20" t="inlineStr">
        <is>
          <t>Presupuesto anual comunidad (€):</t>
        </is>
      </c>
      <c r="B2" s="50" t="n">
        <v>24000</v>
      </c>
      <c r="C2" s="20" t="inlineStr">
        <is>
          <t>Fondo de reserva (%):</t>
        </is>
      </c>
      <c r="D2" s="51" t="n">
        <v>0.05</v>
      </c>
    </row>
    <row r="3"/>
    <row r="4" ht="30" customHeight="1">
      <c r="A4" s="5" t="inlineStr">
        <is>
          <t>ID</t>
        </is>
      </c>
      <c r="B4" s="5" t="inlineStr">
        <is>
          <t>Propietario</t>
        </is>
      </c>
      <c r="C4" s="5" t="inlineStr">
        <is>
          <t>DNI/NIF</t>
        </is>
      </c>
      <c r="D4" s="5" t="inlineStr">
        <is>
          <t>Vivienda/Local</t>
        </is>
      </c>
      <c r="E4" s="5" t="inlineStr">
        <is>
          <t>Dirección</t>
        </is>
      </c>
      <c r="F4" s="5" t="inlineStr">
        <is>
          <t>Coeficiente (%)</t>
        </is>
      </c>
      <c r="G4" s="5" t="inlineStr">
        <is>
          <t>Cuota ordinaria (€)</t>
        </is>
      </c>
      <c r="H4" s="5" t="inlineStr">
        <is>
          <t>Fondo de reserva (€)</t>
        </is>
      </c>
      <c r="I4" s="5" t="inlineStr">
        <is>
          <t>Derramas pendientes (€)</t>
        </is>
      </c>
      <c r="J4" s="5" t="inlineStr">
        <is>
          <t>Asistencia</t>
        </is>
      </c>
      <c r="K4" s="5" t="inlineStr">
        <is>
          <t>Delegación de voto</t>
        </is>
      </c>
      <c r="L4" s="5" t="inlineStr">
        <is>
          <t>Teléfono</t>
        </is>
      </c>
      <c r="M4" s="5" t="inlineStr">
        <is>
          <t>Email</t>
        </is>
      </c>
    </row>
    <row r="5">
      <c r="A5" s="6" t="n">
        <v>1</v>
      </c>
      <c r="B5" s="7" t="inlineStr">
        <is>
          <t>María García</t>
        </is>
      </c>
      <c r="C5" s="6" t="inlineStr">
        <is>
          <t>12345678Z</t>
        </is>
      </c>
      <c r="D5" s="6" t="inlineStr">
        <is>
          <t>3ºB</t>
        </is>
      </c>
      <c r="E5" s="7" t="inlineStr">
        <is>
          <t>Calle Mayor 12 3ºB, Madrid</t>
        </is>
      </c>
      <c r="F5" s="41" t="n">
        <v>11.5</v>
      </c>
      <c r="G5" s="52">
        <f>F5/100*$B$2/12</f>
        <v/>
      </c>
      <c r="H5" s="52">
        <f>G5*$D$2</f>
        <v/>
      </c>
      <c r="I5" s="53" t="n">
        <v>350</v>
      </c>
      <c r="J5" s="13" t="inlineStr">
        <is>
          <t>Sí</t>
        </is>
      </c>
      <c r="K5" s="13">
        <f>IF(J5="No","Sí","No")</f>
        <v/>
      </c>
      <c r="L5" s="28" t="inlineStr">
        <is>
          <t>600111222</t>
        </is>
      </c>
      <c r="M5" s="29" t="inlineStr">
        <is>
          <t>maria.garcia@correo.es</t>
        </is>
      </c>
    </row>
    <row r="6">
      <c r="A6" s="14" t="n">
        <v>2</v>
      </c>
      <c r="B6" s="15" t="inlineStr">
        <is>
          <t>Antonio López</t>
        </is>
      </c>
      <c r="C6" s="14" t="inlineStr">
        <is>
          <t>23456789X</t>
        </is>
      </c>
      <c r="D6" s="14" t="inlineStr">
        <is>
          <t>1ºA</t>
        </is>
      </c>
      <c r="E6" s="15" t="inlineStr">
        <is>
          <t>Av. Diagonal 405, Barcelona</t>
        </is>
      </c>
      <c r="F6" s="44" t="n">
        <v>9.25</v>
      </c>
      <c r="G6" s="54">
        <f>F6/100*$B$2/12</f>
        <v/>
      </c>
      <c r="H6" s="54">
        <f>G6*$D$2</f>
        <v/>
      </c>
      <c r="I6" s="53" t="n">
        <v>0</v>
      </c>
      <c r="J6" s="19" t="inlineStr">
        <is>
          <t>Sí</t>
        </is>
      </c>
      <c r="K6" s="19">
        <f>IF(J6="No","Sí","No")</f>
        <v/>
      </c>
      <c r="L6" s="28" t="inlineStr">
        <is>
          <t>600222333</t>
        </is>
      </c>
      <c r="M6" s="29" t="inlineStr">
        <is>
          <t>antonio.lopez@correo.es</t>
        </is>
      </c>
    </row>
    <row r="7">
      <c r="A7" s="6" t="n">
        <v>3</v>
      </c>
      <c r="B7" s="7" t="inlineStr">
        <is>
          <t>Carmen Ruiz</t>
        </is>
      </c>
      <c r="C7" s="6" t="inlineStr">
        <is>
          <t>34567890Y</t>
        </is>
      </c>
      <c r="D7" s="6" t="inlineStr">
        <is>
          <t>2ºC</t>
        </is>
      </c>
      <c r="E7" s="7" t="inlineStr">
        <is>
          <t>Calle Sierpes 8, Sevilla</t>
        </is>
      </c>
      <c r="F7" s="41" t="n">
        <v>8</v>
      </c>
      <c r="G7" s="52">
        <f>F7/100*$B$2/12</f>
        <v/>
      </c>
      <c r="H7" s="52">
        <f>G7*$D$2</f>
        <v/>
      </c>
      <c r="I7" s="53" t="n">
        <v>0</v>
      </c>
      <c r="J7" s="13" t="inlineStr">
        <is>
          <t>No</t>
        </is>
      </c>
      <c r="K7" s="13">
        <f>IF(J7="No","Sí","No")</f>
        <v/>
      </c>
      <c r="L7" s="28" t="inlineStr">
        <is>
          <t>600333444</t>
        </is>
      </c>
      <c r="M7" s="29" t="inlineStr">
        <is>
          <t>carmen.ruiz@correo.es</t>
        </is>
      </c>
    </row>
    <row r="8">
      <c r="A8" s="14" t="n">
        <v>4</v>
      </c>
      <c r="B8" s="15" t="inlineStr">
        <is>
          <t>José Martínez</t>
        </is>
      </c>
      <c r="C8" s="14" t="inlineStr">
        <is>
          <t>45678901Z</t>
        </is>
      </c>
      <c r="D8" s="14" t="inlineStr">
        <is>
          <t>4ºD</t>
        </is>
      </c>
      <c r="E8" s="15" t="inlineStr">
        <is>
          <t>Calle Colón 22, Valencia</t>
        </is>
      </c>
      <c r="F8" s="44" t="n">
        <v>14.75</v>
      </c>
      <c r="G8" s="54">
        <f>F8/100*$B$2/12</f>
        <v/>
      </c>
      <c r="H8" s="54">
        <f>G8*$D$2</f>
        <v/>
      </c>
      <c r="I8" s="53" t="n">
        <v>450</v>
      </c>
      <c r="J8" s="19" t="inlineStr">
        <is>
          <t>Sí</t>
        </is>
      </c>
      <c r="K8" s="19">
        <f>IF(J8="No","Sí","No")</f>
        <v/>
      </c>
      <c r="L8" s="28" t="inlineStr">
        <is>
          <t>600444555</t>
        </is>
      </c>
      <c r="M8" s="29" t="inlineStr">
        <is>
          <t>jose.martinez@correo.es</t>
        </is>
      </c>
    </row>
    <row r="9">
      <c r="A9" s="6" t="n">
        <v>5</v>
      </c>
      <c r="B9" s="7" t="inlineStr">
        <is>
          <t>Laura Fernández</t>
        </is>
      </c>
      <c r="C9" s="6" t="inlineStr">
        <is>
          <t>56789012X</t>
        </is>
      </c>
      <c r="D9" s="6" t="inlineStr">
        <is>
          <t>1ºA</t>
        </is>
      </c>
      <c r="E9" s="7" t="inlineStr">
        <is>
          <t>Plaza Nueva 5 1ºA, Zaragoza</t>
        </is>
      </c>
      <c r="F9" s="41" t="n">
        <v>6.5</v>
      </c>
      <c r="G9" s="52">
        <f>F9/100*$B$2/12</f>
        <v/>
      </c>
      <c r="H9" s="52">
        <f>G9*$D$2</f>
        <v/>
      </c>
      <c r="I9" s="53" t="n">
        <v>198.25</v>
      </c>
      <c r="J9" s="13" t="inlineStr">
        <is>
          <t>Sí</t>
        </is>
      </c>
      <c r="K9" s="13">
        <f>IF(J9="No","Sí","No")</f>
        <v/>
      </c>
      <c r="L9" s="28" t="inlineStr">
        <is>
          <t>600555666</t>
        </is>
      </c>
      <c r="M9" s="29" t="inlineStr">
        <is>
          <t>laura.fernandez@correo.es</t>
        </is>
      </c>
    </row>
    <row r="10">
      <c r="A10" s="14" t="n">
        <v>6</v>
      </c>
      <c r="B10" s="15" t="inlineStr">
        <is>
          <t>Manuel Sánchez</t>
        </is>
      </c>
      <c r="C10" s="14" t="inlineStr">
        <is>
          <t>67890123Y</t>
        </is>
      </c>
      <c r="D10" s="14" t="inlineStr">
        <is>
          <t>2ºC</t>
        </is>
      </c>
      <c r="E10" s="15" t="inlineStr">
        <is>
          <t>Calle Larios 14 2ºC, Málaga</t>
        </is>
      </c>
      <c r="F10" s="44" t="n">
        <v>18.75</v>
      </c>
      <c r="G10" s="54">
        <f>F10/100*$B$2/12</f>
        <v/>
      </c>
      <c r="H10" s="54">
        <f>G10*$D$2</f>
        <v/>
      </c>
      <c r="I10" s="53" t="n">
        <v>570.75</v>
      </c>
      <c r="J10" s="19" t="inlineStr">
        <is>
          <t>Sí</t>
        </is>
      </c>
      <c r="K10" s="19">
        <f>IF(J10="No","Sí","No")</f>
        <v/>
      </c>
      <c r="L10" s="28" t="inlineStr">
        <is>
          <t>600666777</t>
        </is>
      </c>
      <c r="M10" s="29" t="inlineStr">
        <is>
          <t>manuel.sanchez@correo.es</t>
        </is>
      </c>
    </row>
    <row r="11">
      <c r="A11" s="6" t="n">
        <v>7</v>
      </c>
      <c r="B11" s="7" t="inlineStr">
        <is>
          <t>Ana Torres</t>
        </is>
      </c>
      <c r="C11" s="6" t="inlineStr">
        <is>
          <t>78901234Z</t>
        </is>
      </c>
      <c r="D11" s="6" t="inlineStr">
        <is>
          <t>Bajo A</t>
        </is>
      </c>
      <c r="E11" s="7" t="inlineStr">
        <is>
          <t>Ronda de Segovia 18, Madrid</t>
        </is>
      </c>
      <c r="F11" s="41" t="n">
        <v>5.75</v>
      </c>
      <c r="G11" s="52">
        <f>F11/100*$B$2/12</f>
        <v/>
      </c>
      <c r="H11" s="52">
        <f>G11*$D$2</f>
        <v/>
      </c>
      <c r="I11" s="53" t="n">
        <v>220.5</v>
      </c>
      <c r="J11" s="13" t="inlineStr">
        <is>
          <t>No</t>
        </is>
      </c>
      <c r="K11" s="13">
        <f>IF(J11="No","Sí","No")</f>
        <v/>
      </c>
      <c r="L11" s="28" t="inlineStr">
        <is>
          <t>600777888</t>
        </is>
      </c>
      <c r="M11" s="29" t="inlineStr">
        <is>
          <t>ana.torres@correo.es</t>
        </is>
      </c>
    </row>
    <row r="12">
      <c r="A12" s="14" t="n">
        <v>8</v>
      </c>
      <c r="B12" s="15" t="inlineStr">
        <is>
          <t>Pedro Gómez</t>
        </is>
      </c>
      <c r="C12" s="14" t="inlineStr">
        <is>
          <t>89012345X</t>
        </is>
      </c>
      <c r="D12" s="14" t="inlineStr">
        <is>
          <t>4ºD</t>
        </is>
      </c>
      <c r="E12" s="15" t="inlineStr">
        <is>
          <t>Gran Vía 30 4ºD, Bilbao</t>
        </is>
      </c>
      <c r="F12" s="44" t="n">
        <v>12.25</v>
      </c>
      <c r="G12" s="54">
        <f>F12/100*$B$2/12</f>
        <v/>
      </c>
      <c r="H12" s="54">
        <f>G12*$D$2</f>
        <v/>
      </c>
      <c r="I12" s="53" t="n">
        <v>470</v>
      </c>
      <c r="J12" s="19" t="inlineStr">
        <is>
          <t>Sí</t>
        </is>
      </c>
      <c r="K12" s="19">
        <f>IF(J12="No","Sí","No")</f>
        <v/>
      </c>
      <c r="L12" s="28" t="inlineStr">
        <is>
          <t>600888999</t>
        </is>
      </c>
      <c r="M12" s="29" t="inlineStr">
        <is>
          <t>pedro.gomez@correo.es</t>
        </is>
      </c>
    </row>
    <row r="13">
      <c r="A13" s="6" t="n">
        <v>9</v>
      </c>
      <c r="B13" s="7" t="inlineStr">
        <is>
          <t>Isabel Navarro</t>
        </is>
      </c>
      <c r="C13" s="6" t="inlineStr">
        <is>
          <t>90123456Y</t>
        </is>
      </c>
      <c r="D13" s="6" t="inlineStr">
        <is>
          <t>3ºB</t>
        </is>
      </c>
      <c r="E13" s="7" t="inlineStr">
        <is>
          <t>Calle Real 101, Murcia</t>
        </is>
      </c>
      <c r="F13" s="41" t="n">
        <v>4.5</v>
      </c>
      <c r="G13" s="52">
        <f>F13/100*$B$2/12</f>
        <v/>
      </c>
      <c r="H13" s="52">
        <f>G13*$D$2</f>
        <v/>
      </c>
      <c r="I13" s="53" t="n">
        <v>172.6</v>
      </c>
      <c r="J13" s="13" t="inlineStr">
        <is>
          <t>Sí</t>
        </is>
      </c>
      <c r="K13" s="13">
        <f>IF(J13="No","Sí","No")</f>
        <v/>
      </c>
      <c r="L13" s="28" t="inlineStr">
        <is>
          <t>600999000</t>
        </is>
      </c>
      <c r="M13" s="29" t="inlineStr">
        <is>
          <t>isabel.navarro@correo.es</t>
        </is>
      </c>
    </row>
    <row r="14"/>
    <row r="15">
      <c r="B15" s="20" t="inlineStr">
        <is>
          <t>TOTALES / MEDIAS</t>
        </is>
      </c>
      <c r="F15" s="55">
        <f>AVERAGE(F5:F13)</f>
        <v/>
      </c>
      <c r="G15" s="47">
        <f>SUM(G5:G13)</f>
        <v/>
      </c>
      <c r="H15" s="47">
        <f>SUM(H5:H13)</f>
        <v/>
      </c>
      <c r="I15" s="47">
        <f>SUM(I5:I13)</f>
        <v/>
      </c>
    </row>
    <row r="16">
      <c r="B16" s="20" t="inlineStr">
        <is>
          <t>Nº asistentes:</t>
        </is>
      </c>
      <c r="F16" s="20">
        <f>COUNTIF(J5:J13,"Sí")</f>
        <v/>
      </c>
    </row>
    <row r="17">
      <c r="B17" s="20" t="inlineStr">
        <is>
          <t>Nº no asistentes:</t>
        </is>
      </c>
      <c r="F17" s="20">
        <f>COUNTIF(J5:J13,"No")</f>
        <v/>
      </c>
    </row>
  </sheetData>
  <mergeCells count="1">
    <mergeCell ref="A1:M1"/>
  </mergeCells>
  <dataValidations count="1">
    <dataValidation sqref="J5:J13" showErrorMessage="1" showInputMessage="1" allowBlank="1" type="list">
      <formula1>"Sí,No"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6" customWidth="1" min="3" max="3"/>
    <col width="4" customWidth="1" min="4" max="4"/>
    <col width="20" customWidth="1" min="5" max="5"/>
    <col width="16" customWidth="1" min="6" max="6"/>
  </cols>
  <sheetData>
    <row r="1" ht="26" customHeight="1">
      <c r="A1" s="1" t="inlineStr">
        <is>
          <t>RESUMEN Y DASHBOARD DE LA JUNTA</t>
        </is>
      </c>
    </row>
    <row r="2"/>
    <row r="3">
      <c r="B3" s="32" t="inlineStr">
        <is>
          <t>Total propietarios</t>
        </is>
      </c>
      <c r="C3" s="33">
        <f>COUNTA(Asistentes_y_Cuotas!B5:B13)</f>
        <v/>
      </c>
    </row>
    <row r="4">
      <c r="B4" s="32" t="inlineStr">
        <is>
          <t>Nº asistentes</t>
        </is>
      </c>
      <c r="C4" s="33">
        <f>COUNTIF(Asistentes_y_Cuotas!J5:J13,"Sí")</f>
        <v/>
      </c>
    </row>
    <row r="5">
      <c r="B5" s="32" t="inlineStr">
        <is>
          <t>Coeficiente asistente total (%)</t>
        </is>
      </c>
      <c r="C5" s="55">
        <f>SUMIF(Asistentes_y_Cuotas!J5:J13,"Sí",Asistentes_y_Cuotas!F5:F13)</f>
        <v/>
      </c>
    </row>
    <row r="6">
      <c r="B6" s="32" t="inlineStr">
        <is>
          <t>% asistencia</t>
        </is>
      </c>
      <c r="C6" s="56">
        <f>IFERROR(C4/C3,0)</f>
        <v/>
      </c>
    </row>
    <row r="7">
      <c r="B7" s="32" t="inlineStr">
        <is>
          <t>Votos a favor</t>
        </is>
      </c>
      <c r="C7" s="33">
        <f>COUNTIF(Acta_Junta!J5:J13,"Sí")</f>
        <v/>
      </c>
    </row>
    <row r="8">
      <c r="B8" s="32" t="inlineStr">
        <is>
          <t>Votos en contra</t>
        </is>
      </c>
      <c r="C8" s="33">
        <f>COUNTIF(Acta_Junta!J5:J13,"No")</f>
        <v/>
      </c>
    </row>
    <row r="9">
      <c r="B9" s="32" t="inlineStr">
        <is>
          <t>Abstenciones</t>
        </is>
      </c>
      <c r="C9" s="33">
        <f>COUNTIF(Acta_Junta!J5:J13,"Abstención")</f>
        <v/>
      </c>
    </row>
    <row r="10">
      <c r="B10" s="32" t="inlineStr">
        <is>
          <t>Total derramas aprobadas (€)</t>
        </is>
      </c>
      <c r="C10" s="47">
        <f>SUM(Acta_Junta!M5:M13)</f>
        <v/>
      </c>
    </row>
    <row r="11">
      <c r="B11" s="32" t="inlineStr">
        <is>
          <t>Morosidad estimada (€)</t>
        </is>
      </c>
      <c r="C11" s="47">
        <f>SUM(Asistentes_y_Cuotas!I5:I13)</f>
        <v/>
      </c>
    </row>
    <row r="12">
      <c r="B12" s="32" t="inlineStr">
        <is>
          <t>% coeficiente favorable</t>
        </is>
      </c>
      <c r="C12" s="56">
        <f>IFERROR(SUMIF(Acta_Junta!J5:J13,"Sí",Acta_Junta!G5:G13)/SUMIF(Acta_Junta!H5:H13,"Sí",Acta_Junta!G5:G13),0)</f>
        <v/>
      </c>
    </row>
    <row r="13"/>
    <row r="14"/>
    <row r="15"/>
    <row r="16">
      <c r="B16" s="35" t="inlineStr">
        <is>
          <t>ACUERDOS DEL ORDEN DEL DÍA</t>
        </is>
      </c>
    </row>
    <row r="17">
      <c r="B17" s="29">
        <f>IFERROR(VLOOKUP(1,Acta_Junta!A5:P13,2,FALSE),"")</f>
        <v/>
      </c>
      <c r="C17" s="28">
        <f>IFERROR(VLOOKUP(1,Acta_Junta!A5:P13,16,FALSE),"")</f>
        <v/>
      </c>
    </row>
    <row r="18">
      <c r="B18" s="29">
        <f>IFERROR(VLOOKUP(2,Acta_Junta!A5:P13,2,FALSE),"")</f>
        <v/>
      </c>
      <c r="C18" s="28">
        <f>IFERROR(VLOOKUP(2,Acta_Junta!A5:P13,16,FALSE),"")</f>
        <v/>
      </c>
    </row>
    <row r="19">
      <c r="B19" s="29">
        <f>IFERROR(VLOOKUP(3,Acta_Junta!A5:P13,2,FALSE),"")</f>
        <v/>
      </c>
      <c r="C19" s="28">
        <f>IFERROR(VLOOKUP(3,Acta_Junta!A5:P13,16,FALSE),"")</f>
        <v/>
      </c>
    </row>
    <row r="20">
      <c r="B20" s="20" t="inlineStr">
        <is>
          <t>Acuerdos aprobados:</t>
        </is>
      </c>
      <c r="C20" s="36">
        <f>COUNTIF(C17:C19,"Aprobado")</f>
        <v/>
      </c>
    </row>
    <row r="21">
      <c r="B21" s="20" t="inlineStr">
        <is>
          <t>Acuerdos rechazados:</t>
        </is>
      </c>
      <c r="C21" s="37">
        <f>COUNTIF(C17:C19,"Rechazado")</f>
        <v/>
      </c>
    </row>
    <row r="22"/>
    <row r="23"/>
    <row r="24"/>
    <row r="25"/>
    <row r="26"/>
    <row r="27"/>
    <row r="28"/>
    <row r="29"/>
    <row r="30">
      <c r="B30" s="20" t="inlineStr">
        <is>
          <t>Punto</t>
        </is>
      </c>
      <c r="C30" s="20" t="inlineStr">
        <is>
          <t>Sí</t>
        </is>
      </c>
      <c r="D30" s="20" t="inlineStr">
        <is>
          <t>No</t>
        </is>
      </c>
      <c r="E30" s="20" t="inlineStr">
        <is>
          <t>Abstención</t>
        </is>
      </c>
    </row>
    <row r="31">
      <c r="B31" t="inlineStr">
        <is>
          <t>Punto 1</t>
        </is>
      </c>
      <c r="C31">
        <f>COUNTIFS(Acta_Junta!$A$5:$A$13,1,Acta_Junta!$J$5:$J$13,"Sí")</f>
        <v/>
      </c>
      <c r="D31">
        <f>COUNTIFS(Acta_Junta!$A$5:$A$13,1,Acta_Junta!$J$5:$J$13,"No")</f>
        <v/>
      </c>
      <c r="E31">
        <f>COUNTIFS(Acta_Junta!$A$5:$A$13,1,Acta_Junta!$J$5:$J$13,"Abstención")</f>
        <v/>
      </c>
    </row>
    <row r="32">
      <c r="B32" t="inlineStr">
        <is>
          <t>Punto 2</t>
        </is>
      </c>
      <c r="C32">
        <f>COUNTIFS(Acta_Junta!$A$5:$A$13,2,Acta_Junta!$J$5:$J$13,"Sí")</f>
        <v/>
      </c>
      <c r="D32">
        <f>COUNTIFS(Acta_Junta!$A$5:$A$13,2,Acta_Junta!$J$5:$J$13,"No")</f>
        <v/>
      </c>
      <c r="E32">
        <f>COUNTIFS(Acta_Junta!$A$5:$A$13,2,Acta_Junta!$J$5:$J$13,"Abstención")</f>
        <v/>
      </c>
    </row>
    <row r="33">
      <c r="B33" t="inlineStr">
        <is>
          <t>Punto 3</t>
        </is>
      </c>
      <c r="C33">
        <f>COUNTIFS(Acta_Junta!$A$5:$A$13,3,Acta_Junta!$J$5:$J$13,"Sí")</f>
        <v/>
      </c>
      <c r="D33">
        <f>COUNTIFS(Acta_Junta!$A$5:$A$13,3,Acta_Junta!$J$5:$J$13,"No")</f>
        <v/>
      </c>
      <c r="E33">
        <f>COUNTIFS(Acta_Junta!$A$5:$A$13,3,Acta_Junta!$J$5:$J$13,"Abstención")</f>
        <v/>
      </c>
    </row>
    <row r="34"/>
    <row r="35"/>
    <row r="36">
      <c r="B36" s="20" t="inlineStr">
        <is>
          <t>Voto</t>
        </is>
      </c>
      <c r="C36" s="20" t="inlineStr">
        <is>
          <t>Total</t>
        </is>
      </c>
    </row>
    <row r="37">
      <c r="B37" t="inlineStr">
        <is>
          <t>Sí</t>
        </is>
      </c>
      <c r="C37">
        <f>SUM(C31:C33)</f>
        <v/>
      </c>
    </row>
    <row r="38">
      <c r="B38" t="inlineStr">
        <is>
          <t>No</t>
        </is>
      </c>
      <c r="C38">
        <f>SUM(D31:D33)</f>
        <v/>
      </c>
    </row>
    <row r="39">
      <c r="B39" t="inlineStr">
        <is>
          <t>Abstención</t>
        </is>
      </c>
      <c r="C39">
        <f>SUM(E31:E33)</f>
        <v/>
      </c>
    </row>
    <row r="40"/>
    <row r="41"/>
    <row r="42">
      <c r="B42" s="20" t="inlineStr">
        <is>
          <t>Grupo</t>
        </is>
      </c>
      <c r="C42" s="20" t="inlineStr">
        <is>
          <t>Coeficiente (%)</t>
        </is>
      </c>
    </row>
    <row r="43">
      <c r="B43" t="inlineStr">
        <is>
          <t>Asistente</t>
        </is>
      </c>
      <c r="C43">
        <f>SUMIF(Asistentes_y_Cuotas!J5:J13,"Sí",Asistentes_y_Cuotas!F5:F13)</f>
        <v/>
      </c>
    </row>
    <row r="44">
      <c r="B44" t="inlineStr">
        <is>
          <t>No asistente</t>
        </is>
      </c>
      <c r="C44">
        <f>SUMIF(Asistentes_y_Cuotas!J5:J13,"No",Asistentes_y_Cuotas!F5:F13)</f>
        <v/>
      </c>
    </row>
  </sheetData>
  <mergeCells count="2">
    <mergeCell ref="A1:F1"/>
    <mergeCell ref="B16:D1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INSTRUCCIONES DE USO DE LA PLANTILLA</t>
        </is>
      </c>
    </row>
    <row r="2"/>
    <row r="3" ht="42" customHeight="1">
      <c r="A3" s="38" t="inlineStr">
        <is>
          <t>Hoja Acta_Junta</t>
        </is>
      </c>
      <c r="B3" s="39" t="inlineStr">
        <is>
          <t>Registre cada acuerdo del orden del día en una fila por propietario. Rellene Asiste, Representado por y Voto. Las columnas de mayoría y resultado se calculan automáticamente.</t>
        </is>
      </c>
    </row>
    <row r="4" ht="42" customHeight="1">
      <c r="A4" s="38" t="inlineStr">
        <is>
          <t>Asistencia y delegación</t>
        </is>
      </c>
      <c r="B4" s="39" t="inlineStr">
        <is>
          <t>Si un propietario no asiste, indique 'No' en Asiste y anote el nombre de quien lo representa en 'Representado por'. Su voto se registra igualmente y computa según su coeficiente.</t>
        </is>
      </c>
    </row>
    <row r="5" ht="42" customHeight="1">
      <c r="A5" s="38" t="inlineStr">
        <is>
          <t>Votos</t>
        </is>
      </c>
      <c r="B5" s="39" t="inlineStr">
        <is>
          <t>Use únicamente los valores Sí / No / Abstención en la columna Voto (lista desplegable). La abstención no computa como mayoría válida.</t>
        </is>
      </c>
    </row>
    <row r="6" ht="42" customHeight="1">
      <c r="A6" s="38" t="inlineStr">
        <is>
          <t>Significado de mayorías</t>
        </is>
      </c>
      <c r="B6" s="39" t="inlineStr">
        <is>
          <t>Mayoría simple: más votos a favor que en contra entre asistentes. Mayoría de 3/5: se exige el 60% de coeficientes y propietarios. Unanimidad: exige el acuerdo de todos los propietarios.</t>
        </is>
      </c>
    </row>
    <row r="7" ht="42" customHeight="1">
      <c r="A7" s="38" t="inlineStr">
        <is>
          <t>Ley de Propiedad Horizontal (LPH)</t>
        </is>
      </c>
      <c r="B7" s="39" t="inlineStr">
        <is>
          <t>Esta plantilla es orientativa y no sustituye el asesoramiento legal. Consulte la Ley 49/1960, de Propiedad Horizontal, y sus modificaciones para los quorum exigidos en cada tipo de acuerdo.</t>
        </is>
      </c>
    </row>
    <row r="8" ht="42" customHeight="1">
      <c r="A8" s="38" t="inlineStr">
        <is>
          <t>Hoja Asistentes_y_Cuotas</t>
        </is>
      </c>
      <c r="B8" s="39" t="inlineStr">
        <is>
          <t>Base de datos editable de propietarios, coeficientes y cuotas. Modifique el presupuesto anual en la celda B2 para recalcular automáticamente las cuotas ordinarias.</t>
        </is>
      </c>
    </row>
    <row r="9" ht="42" customHeight="1">
      <c r="A9" s="38" t="inlineStr">
        <is>
          <t>Hoja Resumen</t>
        </is>
      </c>
      <c r="B9" s="39" t="inlineStr">
        <is>
          <t>Panel con indicadores clave (KPIs), resultados de acuerdos y gráficos de asistencia y votación. No requiere edición manual: se actualiza a partir de las otras hojas.</t>
        </is>
      </c>
    </row>
    <row r="10" ht="42" customHeight="1">
      <c r="A10" s="38" t="inlineStr">
        <is>
          <t>Guardado del acta</t>
        </is>
      </c>
      <c r="B10" s="39" t="inlineStr">
        <is>
          <t>Al finalizar la junta, guarde el archivo indicando en el nombre la fecha (DD/MM/AAAA) y la comunidad. Imprima y recabe la firma del presidente y del secretario de la comunidad.</t>
        </is>
      </c>
    </row>
    <row r="11" ht="42" customHeight="1">
      <c r="A11" s="38" t="inlineStr">
        <is>
          <t>Cuotas y derramas</t>
        </is>
      </c>
      <c r="B11" s="39" t="inlineStr">
        <is>
          <t>Las cuotas ordinarias cubren gastos habituales (limpieza, mantenimiento, IBI de zonas comunes, etc.). Las derramas se aprueban para obras extraordinarias y se reparten según coeficiente.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2026-07-14T04:31:12Z</dcterms:created>
  <dcterms:modified xmlns:dcterms="http://purl.org/dc/terms/" xmlns:xsi="http://www.w3.org/2001/XMLSchema-instance" xsi:type="dcterms:W3CDTF">2026-07-14T04:31:12Z</dcterms:modified>
</cp:coreProperties>
</file>